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995" yWindow="0" windowWidth="26760" windowHeight="12165" tabRatio="783"/>
  </bookViews>
  <sheets>
    <sheet name="Boiler LPG" sheetId="12" r:id="rId1"/>
  </sheets>
  <definedNames>
    <definedName name="_xlnm.Print_Area" localSheetId="0">'Boiler LPG'!$A$1:$F$56</definedName>
  </definedNames>
  <calcPr calcId="145621"/>
</workbook>
</file>

<file path=xl/calcChain.xml><?xml version="1.0" encoding="utf-8"?>
<calcChain xmlns="http://schemas.openxmlformats.org/spreadsheetml/2006/main">
  <c r="B5" i="12" l="1"/>
  <c r="C9" i="12" l="1"/>
  <c r="C56" i="12" l="1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0" i="12"/>
  <c r="C19" i="12"/>
  <c r="C18" i="12"/>
  <c r="C14" i="12"/>
  <c r="C12" i="12"/>
  <c r="C11" i="12"/>
  <c r="C10" i="12"/>
  <c r="I126" i="12"/>
  <c r="I125" i="12"/>
  <c r="J125" i="12" s="1"/>
  <c r="K125" i="12" s="1"/>
  <c r="L125" i="12" s="1"/>
  <c r="N105" i="12"/>
  <c r="N95" i="12"/>
  <c r="N87" i="12"/>
  <c r="N79" i="12"/>
  <c r="M110" i="12"/>
  <c r="N110" i="12" s="1"/>
  <c r="M109" i="12"/>
  <c r="N109" i="12" s="1"/>
  <c r="M108" i="12"/>
  <c r="N108" i="12" s="1"/>
  <c r="M107" i="12"/>
  <c r="N107" i="12" s="1"/>
  <c r="M106" i="12"/>
  <c r="N106" i="12" s="1"/>
  <c r="M105" i="12"/>
  <c r="M104" i="12"/>
  <c r="N104" i="12" s="1"/>
  <c r="M103" i="12"/>
  <c r="N103" i="12" s="1"/>
  <c r="M102" i="12"/>
  <c r="M99" i="12"/>
  <c r="N99" i="12" s="1"/>
  <c r="M98" i="12"/>
  <c r="N98" i="12" s="1"/>
  <c r="M97" i="12"/>
  <c r="N97" i="12" s="1"/>
  <c r="M96" i="12"/>
  <c r="N96" i="12" s="1"/>
  <c r="M95" i="12"/>
  <c r="M94" i="12"/>
  <c r="N94" i="12" s="1"/>
  <c r="M93" i="12"/>
  <c r="N93" i="12" s="1"/>
  <c r="M92" i="12"/>
  <c r="N92" i="12" s="1"/>
  <c r="M91" i="12"/>
  <c r="N91" i="12" s="1"/>
  <c r="M90" i="12"/>
  <c r="N90" i="12" s="1"/>
  <c r="M89" i="12"/>
  <c r="N89" i="12" s="1"/>
  <c r="M88" i="12"/>
  <c r="N88" i="12" s="1"/>
  <c r="M87" i="12"/>
  <c r="M86" i="12"/>
  <c r="N86" i="12" s="1"/>
  <c r="M85" i="12"/>
  <c r="N85" i="12" s="1"/>
  <c r="M84" i="12"/>
  <c r="N84" i="12" s="1"/>
  <c r="M83" i="12"/>
  <c r="N83" i="12" s="1"/>
  <c r="M82" i="12"/>
  <c r="N82" i="12" s="1"/>
  <c r="M81" i="12"/>
  <c r="N81" i="12" s="1"/>
  <c r="M80" i="12"/>
  <c r="N80" i="12" s="1"/>
  <c r="M79" i="12"/>
  <c r="M78" i="12"/>
  <c r="N78" i="12" s="1"/>
  <c r="M77" i="12"/>
  <c r="N77" i="12" s="1"/>
  <c r="M76" i="12"/>
  <c r="N76" i="12" s="1"/>
  <c r="L110" i="12"/>
  <c r="L109" i="12"/>
  <c r="L108" i="12"/>
  <c r="L107" i="12"/>
  <c r="L106" i="12"/>
  <c r="L105" i="12"/>
  <c r="L104" i="12"/>
  <c r="L103" i="12"/>
  <c r="L102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T70" i="12"/>
  <c r="U70" i="12" s="1"/>
  <c r="L65" i="12"/>
  <c r="M65" i="12" s="1"/>
  <c r="N65" i="12" s="1"/>
  <c r="L64" i="12"/>
  <c r="M64" i="12" s="1"/>
  <c r="N64" i="12" s="1"/>
  <c r="L63" i="12"/>
  <c r="M63" i="12" s="1"/>
  <c r="N63" i="12" s="1"/>
  <c r="L62" i="12"/>
  <c r="M62" i="12" s="1"/>
  <c r="N62" i="12" s="1"/>
  <c r="L59" i="12"/>
  <c r="M59" i="12" s="1"/>
  <c r="N59" i="12" s="1"/>
  <c r="L58" i="12"/>
  <c r="M58" i="12" s="1"/>
  <c r="N58" i="12" s="1"/>
  <c r="L57" i="12"/>
  <c r="M57" i="12" s="1"/>
  <c r="N57" i="12" s="1"/>
  <c r="L56" i="12"/>
  <c r="M56" i="12" s="1"/>
  <c r="N56" i="12" s="1"/>
  <c r="L53" i="12"/>
  <c r="M53" i="12" s="1"/>
  <c r="N53" i="12" s="1"/>
  <c r="L52" i="12"/>
  <c r="M52" i="12" s="1"/>
  <c r="N52" i="12" s="1"/>
  <c r="L51" i="12"/>
  <c r="M51" i="12" s="1"/>
  <c r="N51" i="12" s="1"/>
  <c r="L50" i="12"/>
  <c r="M50" i="12" s="1"/>
  <c r="N50" i="12" s="1"/>
  <c r="L47" i="12"/>
  <c r="M47" i="12" s="1"/>
  <c r="N47" i="12" s="1"/>
  <c r="L46" i="12"/>
  <c r="M46" i="12" s="1"/>
  <c r="N46" i="12" s="1"/>
  <c r="M45" i="12"/>
  <c r="N45" i="12" s="1"/>
  <c r="L45" i="12"/>
  <c r="L44" i="12"/>
  <c r="M44" i="12" s="1"/>
  <c r="N44" i="12" s="1"/>
  <c r="L41" i="12"/>
  <c r="M41" i="12" s="1"/>
  <c r="N41" i="12" s="1"/>
  <c r="O41" i="12" s="1"/>
  <c r="L40" i="12"/>
  <c r="M40" i="12" s="1"/>
  <c r="N40" i="12" s="1"/>
  <c r="O40" i="12" s="1"/>
  <c r="L39" i="12"/>
  <c r="M39" i="12" s="1"/>
  <c r="N39" i="12" s="1"/>
  <c r="O39" i="12" s="1"/>
  <c r="L38" i="12"/>
  <c r="M38" i="12" s="1"/>
  <c r="N38" i="12" s="1"/>
  <c r="O38" i="12" s="1"/>
  <c r="L35" i="12"/>
  <c r="M35" i="12" s="1"/>
  <c r="N35" i="12" s="1"/>
  <c r="L34" i="12"/>
  <c r="M34" i="12" s="1"/>
  <c r="N34" i="12" s="1"/>
  <c r="L33" i="12"/>
  <c r="M33" i="12" s="1"/>
  <c r="N33" i="12" s="1"/>
  <c r="L32" i="12"/>
  <c r="M32" i="12" s="1"/>
  <c r="N32" i="12" s="1"/>
  <c r="L29" i="12"/>
  <c r="M29" i="12" s="1"/>
  <c r="N29" i="12" s="1"/>
  <c r="L28" i="12"/>
  <c r="M28" i="12" s="1"/>
  <c r="N28" i="12" s="1"/>
  <c r="L27" i="12"/>
  <c r="M27" i="12" s="1"/>
  <c r="N27" i="12" s="1"/>
  <c r="L26" i="12"/>
  <c r="M26" i="12" s="1"/>
  <c r="N26" i="12" s="1"/>
  <c r="L23" i="12"/>
  <c r="M23" i="12" s="1"/>
  <c r="N23" i="12" s="1"/>
  <c r="L22" i="12"/>
  <c r="M22" i="12" s="1"/>
  <c r="N22" i="12" s="1"/>
  <c r="L21" i="12"/>
  <c r="M21" i="12" s="1"/>
  <c r="N21" i="12" s="1"/>
  <c r="L20" i="12"/>
  <c r="M20" i="12" s="1"/>
  <c r="N20" i="12" s="1"/>
  <c r="L17" i="12"/>
  <c r="M17" i="12" s="1"/>
  <c r="N17" i="12" s="1"/>
  <c r="L16" i="12"/>
  <c r="M16" i="12" s="1"/>
  <c r="N16" i="12" s="1"/>
  <c r="L15" i="12"/>
  <c r="M15" i="12" s="1"/>
  <c r="N15" i="12" s="1"/>
  <c r="L14" i="12"/>
  <c r="M14" i="12" s="1"/>
  <c r="N14" i="12" s="1"/>
  <c r="L11" i="12"/>
  <c r="M11" i="12" s="1"/>
  <c r="N11" i="12" s="1"/>
  <c r="L10" i="12"/>
  <c r="M10" i="12" s="1"/>
  <c r="N10" i="12" s="1"/>
  <c r="L9" i="12"/>
  <c r="M9" i="12" s="1"/>
  <c r="N9" i="12" s="1"/>
  <c r="L8" i="12"/>
  <c r="M8" i="12" s="1"/>
  <c r="N8" i="12" s="1"/>
  <c r="J126" i="12"/>
  <c r="K126" i="12" s="1"/>
  <c r="L126" i="12" s="1"/>
  <c r="C13" i="12" l="1"/>
  <c r="K71" i="12"/>
  <c r="L71" i="12" s="1"/>
  <c r="M113" i="12"/>
  <c r="Q72" i="12"/>
  <c r="R72" i="12" s="1"/>
  <c r="K72" i="12"/>
  <c r="L72" i="12" s="1"/>
  <c r="Q70" i="12"/>
  <c r="R70" i="12" s="1"/>
  <c r="T71" i="12"/>
  <c r="N102" i="12"/>
  <c r="N113" i="12" s="1"/>
  <c r="N72" i="12"/>
  <c r="O72" i="12" s="1"/>
  <c r="N70" i="12"/>
  <c r="O70" i="12" s="1"/>
  <c r="Q71" i="12"/>
  <c r="R71" i="12" s="1"/>
  <c r="T72" i="12"/>
  <c r="U72" i="12" s="1"/>
  <c r="K70" i="12"/>
  <c r="L70" i="12" s="1"/>
  <c r="N71" i="12"/>
  <c r="O71" i="12" s="1"/>
  <c r="L73" i="12" l="1"/>
  <c r="R73" i="12"/>
  <c r="K73" i="12"/>
  <c r="T73" i="12"/>
  <c r="U71" i="12"/>
  <c r="U73" i="12" s="1"/>
  <c r="Q73" i="12"/>
  <c r="N73" i="12"/>
  <c r="O73" i="12"/>
  <c r="D9" i="12" l="1"/>
  <c r="D10" i="12"/>
  <c r="D13" i="12"/>
  <c r="D12" i="12"/>
  <c r="D20" i="12"/>
  <c r="D19" i="12"/>
  <c r="D18" i="12"/>
  <c r="E18" i="12" s="1"/>
  <c r="D56" i="12"/>
  <c r="E56" i="12" s="1"/>
  <c r="O110" i="12" s="1"/>
  <c r="D55" i="12"/>
  <c r="E55" i="12" s="1"/>
  <c r="O109" i="12" s="1"/>
  <c r="D54" i="12"/>
  <c r="E54" i="12" s="1"/>
  <c r="O108" i="12" s="1"/>
  <c r="D53" i="12"/>
  <c r="E53" i="12" s="1"/>
  <c r="O107" i="12" s="1"/>
  <c r="D52" i="12"/>
  <c r="E52" i="12" s="1"/>
  <c r="O106" i="12" s="1"/>
  <c r="D51" i="12"/>
  <c r="E51" i="12" s="1"/>
  <c r="O105" i="12" s="1"/>
  <c r="D50" i="12"/>
  <c r="E50" i="12" s="1"/>
  <c r="O104" i="12" s="1"/>
  <c r="D49" i="12"/>
  <c r="E49" i="12" s="1"/>
  <c r="O103" i="12" s="1"/>
  <c r="D48" i="12"/>
  <c r="E48" i="12" s="1"/>
  <c r="O102" i="12" s="1"/>
  <c r="D47" i="12"/>
  <c r="E47" i="12" s="1"/>
  <c r="O99" i="12" s="1"/>
  <c r="D46" i="12"/>
  <c r="E46" i="12" s="1"/>
  <c r="O98" i="12" s="1"/>
  <c r="D45" i="12"/>
  <c r="E45" i="12" s="1"/>
  <c r="O97" i="12" s="1"/>
  <c r="D44" i="12"/>
  <c r="E44" i="12" s="1"/>
  <c r="O96" i="12" s="1"/>
  <c r="D43" i="12"/>
  <c r="E43" i="12" s="1"/>
  <c r="O95" i="12" s="1"/>
  <c r="D42" i="12"/>
  <c r="E42" i="12" s="1"/>
  <c r="O94" i="12" s="1"/>
  <c r="D41" i="12"/>
  <c r="E41" i="12" s="1"/>
  <c r="O93" i="12" s="1"/>
  <c r="D40" i="12"/>
  <c r="E40" i="12" s="1"/>
  <c r="O92" i="12" s="1"/>
  <c r="D39" i="12"/>
  <c r="E39" i="12" s="1"/>
  <c r="O91" i="12" s="1"/>
  <c r="D38" i="12"/>
  <c r="E38" i="12" s="1"/>
  <c r="O90" i="12" s="1"/>
  <c r="D37" i="12"/>
  <c r="E37" i="12" s="1"/>
  <c r="O89" i="12" s="1"/>
  <c r="D36" i="12"/>
  <c r="E36" i="12" s="1"/>
  <c r="O88" i="12" s="1"/>
  <c r="D35" i="12"/>
  <c r="E35" i="12" s="1"/>
  <c r="O87" i="12" s="1"/>
  <c r="D34" i="12"/>
  <c r="E34" i="12" s="1"/>
  <c r="O86" i="12" s="1"/>
  <c r="D33" i="12"/>
  <c r="E33" i="12" s="1"/>
  <c r="O85" i="12" s="1"/>
  <c r="D32" i="12"/>
  <c r="E32" i="12" s="1"/>
  <c r="O84" i="12" s="1"/>
  <c r="D31" i="12"/>
  <c r="E31" i="12" s="1"/>
  <c r="O83" i="12" s="1"/>
  <c r="D30" i="12"/>
  <c r="E30" i="12" s="1"/>
  <c r="O82" i="12" s="1"/>
  <c r="D29" i="12"/>
  <c r="E29" i="12" s="1"/>
  <c r="O81" i="12" s="1"/>
  <c r="D28" i="12"/>
  <c r="E28" i="12" s="1"/>
  <c r="O80" i="12" s="1"/>
  <c r="D27" i="12"/>
  <c r="E27" i="12" s="1"/>
  <c r="O79" i="12" s="1"/>
  <c r="D26" i="12"/>
  <c r="E26" i="12" s="1"/>
  <c r="O78" i="12" s="1"/>
  <c r="D25" i="12"/>
  <c r="E25" i="12" s="1"/>
  <c r="O77" i="12" s="1"/>
  <c r="D24" i="12"/>
  <c r="E24" i="12" s="1"/>
  <c r="O76" i="12" s="1"/>
  <c r="O53" i="12" l="1"/>
  <c r="O52" i="12"/>
  <c r="O51" i="12"/>
  <c r="O50" i="12"/>
  <c r="D15" i="12"/>
  <c r="E15" i="12" s="1"/>
  <c r="O113" i="12" s="1"/>
  <c r="D11" i="12"/>
  <c r="E11" i="12" s="1"/>
  <c r="E9" i="12"/>
  <c r="M125" i="12" s="1"/>
  <c r="E10" i="12"/>
  <c r="M126" i="12" s="1"/>
  <c r="E12" i="12"/>
  <c r="D14" i="12"/>
  <c r="E14" i="12" s="1"/>
  <c r="E13" i="12"/>
  <c r="E19" i="12"/>
  <c r="E20" i="12"/>
  <c r="E21" i="12"/>
  <c r="S73" i="12" l="1"/>
  <c r="V73" i="12"/>
  <c r="M73" i="12"/>
  <c r="P73" i="12"/>
  <c r="O65" i="12"/>
  <c r="O64" i="12"/>
  <c r="O63" i="12"/>
  <c r="O62" i="12"/>
  <c r="O59" i="12"/>
  <c r="O58" i="12"/>
  <c r="O57" i="12"/>
  <c r="O56" i="12"/>
  <c r="P41" i="12"/>
  <c r="P40" i="12"/>
  <c r="P39" i="12"/>
  <c r="P38" i="12"/>
  <c r="O47" i="12"/>
  <c r="O46" i="12"/>
  <c r="O45" i="12"/>
  <c r="O44" i="12"/>
  <c r="O15" i="12"/>
  <c r="O14" i="12"/>
  <c r="O17" i="12"/>
  <c r="O16" i="12"/>
  <c r="O9" i="12"/>
  <c r="O8" i="12"/>
  <c r="O11" i="12"/>
  <c r="O10" i="12"/>
  <c r="O22" i="12"/>
  <c r="O21" i="12"/>
  <c r="O20" i="12"/>
  <c r="O23" i="12"/>
</calcChain>
</file>

<file path=xl/sharedStrings.xml><?xml version="1.0" encoding="utf-8"?>
<sst xmlns="http://schemas.openxmlformats.org/spreadsheetml/2006/main" count="325" uniqueCount="109">
  <si>
    <t>Operational Hours</t>
  </si>
  <si>
    <t>hours/year</t>
  </si>
  <si>
    <t>Rating</t>
  </si>
  <si>
    <r>
      <t>NO</t>
    </r>
    <r>
      <rPr>
        <vertAlign val="subscript"/>
        <sz val="10"/>
        <rFont val="Arial"/>
        <family val="2"/>
      </rPr>
      <t>X</t>
    </r>
  </si>
  <si>
    <t>CO</t>
  </si>
  <si>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</si>
  <si>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</si>
  <si>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r>
      <t>SO</t>
    </r>
    <r>
      <rPr>
        <vertAlign val="subscript"/>
        <sz val="10"/>
        <rFont val="Arial"/>
        <family val="2"/>
      </rPr>
      <t>2</t>
    </r>
  </si>
  <si>
    <t>VOC</t>
  </si>
  <si>
    <t>2-Methylnaphthalene</t>
  </si>
  <si>
    <t>3-Methylchloranthrene</t>
  </si>
  <si>
    <t>7,12-Dimethylbenz(a)anthracene</t>
  </si>
  <si>
    <t>Acenaphthene</t>
  </si>
  <si>
    <t>Acenaphthylene</t>
  </si>
  <si>
    <t>Anthracene</t>
  </si>
  <si>
    <t>Benz(a)anthracene</t>
  </si>
  <si>
    <t>Benzene</t>
  </si>
  <si>
    <t>Benzo(a)pyrene</t>
  </si>
  <si>
    <t>Benzo(b)fluoranthene</t>
  </si>
  <si>
    <t>Benzo(g,h,i)perylene</t>
  </si>
  <si>
    <t>Benzo(k)fluoranthene</t>
  </si>
  <si>
    <t>Chrysene</t>
  </si>
  <si>
    <t>Dibenzo(a,h)anthracene</t>
  </si>
  <si>
    <t>Dichlorobenzene</t>
  </si>
  <si>
    <t>Fluoranthene</t>
  </si>
  <si>
    <t>Fluorene</t>
  </si>
  <si>
    <t>Formaldehyde</t>
  </si>
  <si>
    <t>Hexane</t>
  </si>
  <si>
    <t>Indeno(1,2,3-cd)pyrene</t>
  </si>
  <si>
    <t>Naphthalene</t>
  </si>
  <si>
    <t>Phenanathrene</t>
  </si>
  <si>
    <t>Pyrene</t>
  </si>
  <si>
    <t>Toluene</t>
  </si>
  <si>
    <t>Arsenic</t>
  </si>
  <si>
    <t>Beryllium</t>
  </si>
  <si>
    <t>Cadmium</t>
  </si>
  <si>
    <t>Chromium</t>
  </si>
  <si>
    <t>Cobalt</t>
  </si>
  <si>
    <t>Manganese</t>
  </si>
  <si>
    <t>Mercury</t>
  </si>
  <si>
    <t>Nickel</t>
  </si>
  <si>
    <t>Selenium</t>
  </si>
  <si>
    <t>Sulfur Content</t>
  </si>
  <si>
    <t>Criteria Pollutant</t>
  </si>
  <si>
    <t>Equipment Details</t>
  </si>
  <si>
    <t>Reference</t>
  </si>
  <si>
    <t>Global Warming Potential</t>
  </si>
  <si>
    <t>Methane (mass basis)</t>
  </si>
  <si>
    <t>Concentration
(ppm)</t>
  </si>
  <si>
    <t>Emission Factor
(lb/10^6 scf)</t>
  </si>
  <si>
    <t>Emission
Rate
(lbs/hr)</t>
  </si>
  <si>
    <t>Emission
Total
(tons/year)</t>
  </si>
  <si>
    <t>Green House Gas Pollutant</t>
  </si>
  <si>
    <t>HAP</t>
  </si>
  <si>
    <t>Hazardous Air Pollutant</t>
  </si>
  <si>
    <t>See Below</t>
  </si>
  <si>
    <t>MMBtu/hour</t>
  </si>
  <si>
    <t>Emission Factor
(lb/10^3 gal)</t>
  </si>
  <si>
    <t>Fuel</t>
  </si>
  <si>
    <t>Manufacturer Data
or AP-42 Table 1.5-1</t>
  </si>
  <si>
    <t>AP-42 Table 1.5-1
&amp;
Table A-1 to
Subpart A of Part 98</t>
  </si>
  <si>
    <t>Butane</t>
  </si>
  <si>
    <r>
      <t>gr/100 ft</t>
    </r>
    <r>
      <rPr>
        <vertAlign val="superscript"/>
        <sz val="10"/>
        <rFont val="Arial"/>
        <family val="2"/>
      </rPr>
      <t>3</t>
    </r>
  </si>
  <si>
    <t>LPG-Fired Boilers &amp; Heaters</t>
  </si>
  <si>
    <t>Nox</t>
  </si>
  <si>
    <t>NOx</t>
  </si>
  <si>
    <t>lb/10^6 scf</t>
  </si>
  <si>
    <t>lb/MMBtu</t>
  </si>
  <si>
    <t>lb/hr</t>
  </si>
  <si>
    <t>Ton/year</t>
  </si>
  <si>
    <t>BTU/scf or MMBtu/MMscf</t>
  </si>
  <si>
    <t>CO2</t>
  </si>
  <si>
    <t>N2O</t>
  </si>
  <si>
    <t>SO2</t>
  </si>
  <si>
    <t>Methane</t>
  </si>
  <si>
    <t>CO2e</t>
  </si>
  <si>
    <t>Total CO2e</t>
  </si>
  <si>
    <t>Table 1.4-3</t>
  </si>
  <si>
    <t>HAP - Organic</t>
  </si>
  <si>
    <t>HAP - Metal</t>
  </si>
  <si>
    <t>Table 1.4-4</t>
  </si>
  <si>
    <t>Total HAP</t>
  </si>
  <si>
    <t>Check</t>
  </si>
  <si>
    <t>Source: AQMD Permit Sample Evaluation Natural Gas Fired Boiler 5-20 MMBTU/HR, 2007</t>
  </si>
  <si>
    <t>Nox Molecular Weight</t>
  </si>
  <si>
    <t>CO Molecular Weight</t>
  </si>
  <si>
    <t>lb/lb-mole</t>
  </si>
  <si>
    <t>ppm to lb/MMBtu Conversion.</t>
  </si>
  <si>
    <t>Concentration</t>
  </si>
  <si>
    <t>Commercial</t>
  </si>
  <si>
    <t>lb/10^3 gal</t>
  </si>
  <si>
    <t>PM filter</t>
  </si>
  <si>
    <t>EF x S</t>
  </si>
  <si>
    <t>Industrial</t>
  </si>
  <si>
    <t>Table 1.5-1</t>
  </si>
  <si>
    <t>Propane</t>
  </si>
  <si>
    <t>Butane Heating Value</t>
  </si>
  <si>
    <t>Propane Heating Value</t>
  </si>
  <si>
    <t>MMBtu/1000 gal</t>
  </si>
  <si>
    <t>PM total</t>
  </si>
  <si>
    <t>PM cond</t>
  </si>
  <si>
    <t>Commercial - less than 10 MMBtu/hr</t>
  </si>
  <si>
    <t>Industrial - greater than 10 MMBtu/hr</t>
  </si>
  <si>
    <t>Nat Gas Heating Value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</si>
  <si>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(mass basis)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</si>
  <si>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(mass basis)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</si>
  <si>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</t>
    </r>
  </si>
  <si>
    <t>No HAP data in 
AP-42 Chapter 1.5.
AP-42 Table 1.4-3 and
Table 1.4-4
used to generate HAP data in this section.</t>
  </si>
  <si>
    <t>gr/100 ft3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</si>
</sst>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000"/>
    <numFmt numFmtId="167" formatCode="0.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2E4F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/>
    <xf numFmtId="0" fontId="5" fillId="0" borderId="0" xfId="1" applyFont="1" applyFill="1" applyBorder="1"/>
    <xf numFmtId="0" fontId="2" fillId="0" borderId="0" xfId="1" applyFill="1" applyBorder="1"/>
    <xf numFmtId="0" fontId="0" fillId="0" borderId="7" xfId="1" applyFont="1" applyFill="1" applyBorder="1"/>
    <xf numFmtId="0" fontId="0" fillId="0" borderId="8" xfId="1" applyFont="1" applyFill="1" applyBorder="1"/>
    <xf numFmtId="0" fontId="0" fillId="2" borderId="10" xfId="1" applyFont="1" applyFill="1" applyBorder="1"/>
    <xf numFmtId="0" fontId="2" fillId="0" borderId="15" xfId="1" applyBorder="1"/>
    <xf numFmtId="0" fontId="0" fillId="0" borderId="11" xfId="1" applyFont="1" applyFill="1" applyBorder="1"/>
    <xf numFmtId="0" fontId="0" fillId="0" borderId="10" xfId="1" applyFont="1" applyFill="1" applyBorder="1"/>
    <xf numFmtId="0" fontId="0" fillId="0" borderId="13" xfId="1" applyFont="1" applyFill="1" applyBorder="1"/>
    <xf numFmtId="0" fontId="0" fillId="2" borderId="6" xfId="1" applyFont="1" applyFill="1" applyBorder="1"/>
    <xf numFmtId="0" fontId="0" fillId="0" borderId="7" xfId="1" applyFont="1" applyFill="1" applyBorder="1" applyAlignment="1">
      <alignment horizontal="center" vertical="center" wrapText="1"/>
    </xf>
    <xf numFmtId="0" fontId="3" fillId="4" borderId="23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20" xfId="0" applyFont="1" applyFill="1" applyBorder="1" applyAlignment="1">
      <alignment wrapText="1"/>
    </xf>
    <xf numFmtId="0" fontId="3" fillId="4" borderId="21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0" fillId="0" borderId="10" xfId="1" applyFont="1" applyFill="1" applyBorder="1" applyAlignment="1">
      <alignment horizontal="left"/>
    </xf>
    <xf numFmtId="0" fontId="0" fillId="2" borderId="10" xfId="1" applyFont="1" applyFill="1" applyBorder="1" applyAlignment="1">
      <alignment horizontal="left"/>
    </xf>
    <xf numFmtId="0" fontId="0" fillId="0" borderId="8" xfId="1" applyFont="1" applyFill="1" applyBorder="1" applyAlignment="1">
      <alignment horizontal="left"/>
    </xf>
    <xf numFmtId="0" fontId="0" fillId="0" borderId="6" xfId="1" applyFont="1" applyFill="1" applyBorder="1"/>
    <xf numFmtId="0" fontId="0" fillId="0" borderId="0" xfId="1" applyFont="1"/>
    <xf numFmtId="0" fontId="2" fillId="3" borderId="0" xfId="1" applyFill="1"/>
    <xf numFmtId="2" fontId="2" fillId="0" borderId="0" xfId="1" applyNumberFormat="1"/>
    <xf numFmtId="0" fontId="0" fillId="0" borderId="0" xfId="1" applyFont="1" applyFill="1"/>
    <xf numFmtId="0" fontId="2" fillId="0" borderId="0" xfId="1" applyFill="1"/>
    <xf numFmtId="165" fontId="2" fillId="0" borderId="0" xfId="1" applyNumberFormat="1" applyFill="1"/>
    <xf numFmtId="2" fontId="2" fillId="0" borderId="0" xfId="1" applyNumberFormat="1" applyFill="1"/>
    <xf numFmtId="11" fontId="2" fillId="0" borderId="0" xfId="1" applyNumberFormat="1" applyFill="1"/>
    <xf numFmtId="0" fontId="3" fillId="0" borderId="0" xfId="1" applyFont="1"/>
    <xf numFmtId="0" fontId="2" fillId="0" borderId="0" xfId="1" applyFont="1"/>
    <xf numFmtId="0" fontId="3" fillId="0" borderId="15" xfId="1" applyFont="1" applyBorder="1"/>
    <xf numFmtId="0" fontId="3" fillId="0" borderId="15" xfId="1" applyFont="1" applyFill="1" applyBorder="1"/>
    <xf numFmtId="0" fontId="0" fillId="0" borderId="0" xfId="1" applyFont="1" applyFill="1" applyBorder="1"/>
    <xf numFmtId="165" fontId="2" fillId="0" borderId="0" xfId="1" applyNumberFormat="1" applyFill="1" applyBorder="1"/>
    <xf numFmtId="2" fontId="2" fillId="0" borderId="0" xfId="1" applyNumberFormat="1" applyFill="1" applyBorder="1"/>
    <xf numFmtId="0" fontId="2" fillId="0" borderId="29" xfId="1" applyFill="1" applyBorder="1"/>
    <xf numFmtId="0" fontId="3" fillId="0" borderId="31" xfId="1" applyFont="1" applyBorder="1"/>
    <xf numFmtId="0" fontId="0" fillId="0" borderId="15" xfId="1" applyFont="1" applyBorder="1"/>
    <xf numFmtId="0" fontId="3" fillId="0" borderId="30" xfId="1" applyFont="1" applyBorder="1"/>
    <xf numFmtId="3" fontId="2" fillId="0" borderId="28" xfId="1" applyNumberFormat="1" applyBorder="1"/>
    <xf numFmtId="3" fontId="2" fillId="0" borderId="0" xfId="1" applyNumberFormat="1" applyBorder="1"/>
    <xf numFmtId="3" fontId="2" fillId="0" borderId="28" xfId="1" applyNumberFormat="1" applyFont="1" applyFill="1" applyBorder="1"/>
    <xf numFmtId="3" fontId="2" fillId="0" borderId="0" xfId="1" applyNumberFormat="1" applyFont="1" applyFill="1" applyBorder="1"/>
    <xf numFmtId="0" fontId="2" fillId="0" borderId="29" xfId="1" applyFont="1" applyFill="1" applyBorder="1"/>
    <xf numFmtId="0" fontId="0" fillId="0" borderId="0" xfId="1" applyFont="1" applyBorder="1"/>
    <xf numFmtId="0" fontId="0" fillId="0" borderId="15" xfId="1" applyFont="1" applyFill="1" applyBorder="1"/>
    <xf numFmtId="0" fontId="8" fillId="0" borderId="18" xfId="3" applyFont="1" applyBorder="1"/>
    <xf numFmtId="0" fontId="8" fillId="0" borderId="17" xfId="3" applyFont="1" applyBorder="1"/>
    <xf numFmtId="2" fontId="0" fillId="0" borderId="3" xfId="1" applyNumberFormat="1" applyFont="1" applyFill="1" applyBorder="1"/>
    <xf numFmtId="2" fontId="0" fillId="2" borderId="1" xfId="1" applyNumberFormat="1" applyFont="1" applyFill="1" applyBorder="1"/>
    <xf numFmtId="0" fontId="0" fillId="0" borderId="1" xfId="1" applyFont="1" applyFill="1" applyBorder="1"/>
    <xf numFmtId="2" fontId="0" fillId="0" borderId="1" xfId="1" applyNumberFormat="1" applyFont="1" applyFill="1" applyBorder="1"/>
    <xf numFmtId="0" fontId="0" fillId="2" borderId="1" xfId="1" applyFont="1" applyFill="1" applyBorder="1"/>
    <xf numFmtId="164" fontId="0" fillId="0" borderId="0" xfId="1" applyNumberFormat="1" applyFont="1" applyFill="1" applyBorder="1"/>
    <xf numFmtId="0" fontId="0" fillId="0" borderId="3" xfId="1" applyNumberFormat="1" applyFont="1" applyFill="1" applyBorder="1"/>
    <xf numFmtId="3" fontId="0" fillId="0" borderId="3" xfId="1" applyNumberFormat="1" applyFont="1" applyFill="1" applyBorder="1"/>
    <xf numFmtId="0" fontId="0" fillId="2" borderId="1" xfId="1" applyNumberFormat="1" applyFont="1" applyFill="1" applyBorder="1"/>
    <xf numFmtId="0" fontId="0" fillId="0" borderId="1" xfId="1" applyNumberFormat="1" applyFont="1" applyFill="1" applyBorder="1"/>
    <xf numFmtId="164" fontId="0" fillId="2" borderId="2" xfId="1" applyNumberFormat="1" applyFont="1" applyFill="1" applyBorder="1"/>
    <xf numFmtId="0" fontId="0" fillId="2" borderId="2" xfId="1" applyNumberFormat="1" applyFont="1" applyFill="1" applyBorder="1"/>
    <xf numFmtId="3" fontId="0" fillId="2" borderId="2" xfId="1" applyNumberFormat="1" applyFont="1" applyFill="1" applyBorder="1"/>
    <xf numFmtId="11" fontId="0" fillId="0" borderId="3" xfId="1" applyNumberFormat="1" applyFont="1" applyFill="1" applyBorder="1"/>
    <xf numFmtId="11" fontId="0" fillId="2" borderId="1" xfId="1" applyNumberFormat="1" applyFont="1" applyFill="1" applyBorder="1"/>
    <xf numFmtId="11" fontId="0" fillId="0" borderId="1" xfId="1" applyNumberFormat="1" applyFont="1" applyFill="1" applyBorder="1"/>
    <xf numFmtId="0" fontId="0" fillId="0" borderId="6" xfId="1" applyFont="1" applyFill="1" applyBorder="1" applyAlignment="1">
      <alignment horizontal="left"/>
    </xf>
    <xf numFmtId="11" fontId="0" fillId="0" borderId="2" xfId="1" applyNumberFormat="1" applyFont="1" applyFill="1" applyBorder="1"/>
    <xf numFmtId="0" fontId="8" fillId="0" borderId="25" xfId="3" applyFont="1" applyBorder="1"/>
    <xf numFmtId="167" fontId="0" fillId="2" borderId="1" xfId="1" applyNumberFormat="1" applyFont="1" applyFill="1" applyBorder="1"/>
    <xf numFmtId="0" fontId="0" fillId="0" borderId="2" xfId="1" applyFont="1" applyFill="1" applyBorder="1"/>
    <xf numFmtId="2" fontId="0" fillId="0" borderId="2" xfId="1" applyNumberFormat="1" applyFont="1" applyFill="1" applyBorder="1"/>
    <xf numFmtId="11" fontId="0" fillId="0" borderId="32" xfId="1" applyNumberFormat="1" applyFont="1" applyFill="1" applyBorder="1"/>
    <xf numFmtId="11" fontId="0" fillId="0" borderId="37" xfId="1" applyNumberFormat="1" applyFont="1" applyFill="1" applyBorder="1"/>
    <xf numFmtId="11" fontId="0" fillId="2" borderId="27" xfId="1" applyNumberFormat="1" applyFont="1" applyFill="1" applyBorder="1"/>
    <xf numFmtId="11" fontId="0" fillId="2" borderId="36" xfId="1" applyNumberFormat="1" applyFont="1" applyFill="1" applyBorder="1"/>
    <xf numFmtId="11" fontId="0" fillId="0" borderId="27" xfId="1" applyNumberFormat="1" applyFont="1" applyFill="1" applyBorder="1"/>
    <xf numFmtId="11" fontId="0" fillId="0" borderId="36" xfId="1" applyNumberFormat="1" applyFont="1" applyFill="1" applyBorder="1"/>
    <xf numFmtId="11" fontId="0" fillId="0" borderId="26" xfId="1" applyNumberFormat="1" applyFont="1" applyFill="1" applyBorder="1"/>
    <xf numFmtId="11" fontId="0" fillId="0" borderId="35" xfId="1" applyNumberFormat="1" applyFont="1" applyFill="1" applyBorder="1"/>
    <xf numFmtId="0" fontId="2" fillId="6" borderId="0" xfId="1" applyFill="1"/>
    <xf numFmtId="11" fontId="2" fillId="6" borderId="0" xfId="1" applyNumberFormat="1" applyFill="1"/>
    <xf numFmtId="2" fontId="2" fillId="6" borderId="0" xfId="1" applyNumberFormat="1" applyFill="1"/>
    <xf numFmtId="0" fontId="2" fillId="6" borderId="0" xfId="1" applyNumberFormat="1" applyFill="1"/>
    <xf numFmtId="0" fontId="2" fillId="6" borderId="0" xfId="1" applyFill="1" applyBorder="1"/>
    <xf numFmtId="2" fontId="2" fillId="6" borderId="0" xfId="1" applyNumberFormat="1" applyFill="1" applyBorder="1"/>
    <xf numFmtId="167" fontId="2" fillId="6" borderId="0" xfId="1" applyNumberFormat="1" applyFill="1"/>
    <xf numFmtId="167" fontId="2" fillId="6" borderId="0" xfId="1" applyNumberFormat="1" applyFill="1" applyBorder="1"/>
    <xf numFmtId="0" fontId="2" fillId="6" borderId="0" xfId="1" applyNumberFormat="1" applyFill="1" applyBorder="1"/>
    <xf numFmtId="3" fontId="0" fillId="3" borderId="1" xfId="1" applyNumberFormat="1" applyFont="1" applyFill="1" applyBorder="1" applyProtection="1">
      <protection locked="0"/>
    </xf>
    <xf numFmtId="3" fontId="0" fillId="3" borderId="22" xfId="1" applyNumberFormat="1" applyFont="1" applyFill="1" applyBorder="1" applyProtection="1">
      <protection locked="0"/>
    </xf>
    <xf numFmtId="0" fontId="8" fillId="3" borderId="3" xfId="3" applyFont="1" applyFill="1" applyBorder="1" applyProtection="1">
      <protection locked="0"/>
    </xf>
    <xf numFmtId="0" fontId="8" fillId="3" borderId="1" xfId="3" applyFont="1" applyFill="1" applyBorder="1" applyProtection="1">
      <protection locked="0"/>
    </xf>
    <xf numFmtId="3" fontId="0" fillId="3" borderId="2" xfId="1" applyNumberFormat="1" applyFont="1" applyFill="1" applyBorder="1" applyAlignment="1" applyProtection="1">
      <alignment horizontal="center"/>
      <protection locked="0"/>
    </xf>
    <xf numFmtId="0" fontId="0" fillId="5" borderId="22" xfId="1" applyNumberFormat="1" applyFont="1" applyFill="1" applyBorder="1" applyProtection="1">
      <protection locked="0"/>
    </xf>
    <xf numFmtId="0" fontId="0" fillId="0" borderId="1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0" fillId="0" borderId="16" xfId="1" applyFont="1" applyFill="1" applyBorder="1" applyAlignment="1">
      <alignment horizontal="center" vertical="center" wrapText="1"/>
    </xf>
    <xf numFmtId="0" fontId="0" fillId="0" borderId="24" xfId="1" applyFont="1" applyFill="1" applyBorder="1" applyAlignment="1">
      <alignment horizontal="center" vertical="center" wrapText="1"/>
    </xf>
    <xf numFmtId="0" fontId="0" fillId="0" borderId="14" xfId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wrapText="1"/>
    </xf>
    <xf numFmtId="0" fontId="3" fillId="4" borderId="34" xfId="0" applyFont="1" applyFill="1" applyBorder="1" applyAlignment="1">
      <alignment horizontal="center" wrapText="1"/>
    </xf>
    <xf numFmtId="0" fontId="3" fillId="0" borderId="28" xfId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0" fontId="0" fillId="0" borderId="12" xfId="1" applyFont="1" applyBorder="1" applyAlignment="1">
      <alignment horizontal="center" vertical="center" wrapText="1"/>
    </xf>
    <xf numFmtId="0" fontId="0" fillId="0" borderId="9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0" fillId="0" borderId="16" xfId="1" applyFont="1" applyBorder="1" applyAlignment="1">
      <alignment horizontal="center" vertical="center" wrapText="1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CCFFCC"/>
      <color rgb="FFA2E4F4"/>
      <color rgb="FF8EDFF2"/>
      <color rgb="FF57CFE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47625</xdr:colOff>
      <xdr:row>115</xdr:row>
      <xdr:rowOff>38100</xdr:rowOff>
    </xdr:from>
    <xdr:ext cx="6334126" cy="571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886575" y="15316200"/>
              <a:ext cx="6334126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𝐸𝐹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/>
                              </a:rPr>
                              <m:t>𝑙𝑏</m:t>
                            </m:r>
                          </m:num>
                          <m:den>
                            <m:r>
                              <a:rPr lang="en-US" sz="1100" b="0" i="1">
                                <a:latin typeface="Cambria Math"/>
                              </a:rPr>
                              <m:t>𝑀𝑀𝐵𝑡𝑢</m:t>
                            </m:r>
                          </m:den>
                        </m:f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𝐶𝑜𝑛𝑐𝑒𝑛𝑡𝑟𝑎𝑡𝑖𝑜𝑛</m:t>
                        </m:r>
                        <m:r>
                          <a:rPr lang="en-US" sz="1100" b="0" i="1">
                            <a:latin typeface="Cambria Math"/>
                          </a:rPr>
                          <m:t> (</m:t>
                        </m:r>
                        <m:r>
                          <a:rPr lang="en-US" sz="1100" b="0" i="1">
                            <a:latin typeface="Cambria Math"/>
                          </a:rPr>
                          <m:t>𝑝𝑝𝑚</m:t>
                        </m:r>
                        <m:r>
                          <a:rPr lang="en-US" sz="1100" b="0" i="1">
                            <a:latin typeface="Cambria Math"/>
                          </a:rPr>
                          <m:t>)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1,000,000 (</m:t>
                        </m:r>
                        <m:r>
                          <a:rPr lang="en-US" sz="1100" b="0" i="1">
                            <a:latin typeface="Cambria Math"/>
                          </a:rPr>
                          <m:t>𝑝𝑝𝑚</m:t>
                        </m:r>
                        <m:r>
                          <a:rPr lang="en-US" sz="1100" b="0" i="1">
                            <a:latin typeface="Cambria Math"/>
                          </a:rPr>
                          <m:t>)</m:t>
                        </m:r>
                      </m:den>
                    </m:f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20.9%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20.9%−3%</m:t>
                        </m:r>
                      </m:den>
                    </m:f>
                    <m:r>
                      <a:rPr lang="en-US" sz="1100" b="0" i="1">
                        <a:latin typeface="Cambria Math"/>
                        <a:ea typeface="Cambria Math"/>
                      </a:rPr>
                      <m:t>×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8,710 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𝑑𝑠𝑐𝑓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𝑀𝑀𝐵𝑡𝑢</m:t>
                        </m:r>
                      </m:den>
                    </m:f>
                    <m:r>
                      <a:rPr lang="en-US" sz="1100" b="0" i="1">
                        <a:latin typeface="Cambria Math"/>
                        <a:ea typeface="Cambria Math"/>
                      </a:rPr>
                      <m:t>×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𝑀𝑊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𝑙𝑏</m:t>
                            </m:r>
                          </m:num>
                          <m:den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𝑙𝑏</m:t>
                            </m:r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−</m:t>
                            </m:r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𝑚𝑜𝑙𝑒</m:t>
                            </m:r>
                          </m:den>
                        </m:f>
                      </m:e>
                    </m:d>
                    <m:r>
                      <a:rPr lang="en-US" sz="1100" b="0" i="1">
                        <a:latin typeface="Cambria Math"/>
                        <a:ea typeface="Cambria Math"/>
                      </a:rPr>
                      <m:t>×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1 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𝑙𝑏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𝑚𝑜𝑙𝑒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385.44 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𝑓𝑡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3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886575" y="15316200"/>
              <a:ext cx="6334126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𝐸𝐹(𝑙𝑏/𝑀𝑀𝐵𝑡𝑢)=(𝐶𝑜𝑛𝑐𝑒𝑛𝑡𝑟𝑎𝑡𝑖𝑜𝑛 (𝑝𝑝𝑚))/(1,000,000 (𝑝𝑝𝑚))  (20.9%)/(20.9%−3%)</a:t>
              </a:r>
              <a:r>
                <a:rPr lang="en-US" sz="1100" b="0" i="0">
                  <a:latin typeface="Cambria Math"/>
                  <a:ea typeface="Cambria Math"/>
                </a:rPr>
                <a:t>×(8,710 𝑑𝑠𝑐𝑓)/𝑀𝑀𝐵𝑡𝑢×𝑀𝑊(𝑙𝑏/(𝑙𝑏−𝑚𝑜𝑙𝑒))×(1 𝑙𝑏−𝑚𝑜𝑙𝑒)/(385.44 〖𝑓𝑡〗^3 )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6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28.28515625" style="1" bestFit="1" customWidth="1"/>
    <col min="2" max="2" width="13.85546875" style="1" bestFit="1" customWidth="1"/>
    <col min="3" max="3" width="12.28515625" style="1" customWidth="1"/>
    <col min="4" max="4" width="10.5703125" style="1" bestFit="1" customWidth="1"/>
    <col min="5" max="5" width="10.42578125" style="1" bestFit="1" customWidth="1"/>
    <col min="6" max="6" width="18.28515625" style="1" bestFit="1" customWidth="1"/>
    <col min="7" max="7" width="9.28515625" style="1" bestFit="1" customWidth="1"/>
    <col min="8" max="8" width="9.28515625" style="1" hidden="1" customWidth="1"/>
    <col min="9" max="9" width="14.28515625" style="1" hidden="1" customWidth="1"/>
    <col min="10" max="10" width="39.28515625" style="1" hidden="1" customWidth="1"/>
    <col min="11" max="11" width="10.85546875" style="1" hidden="1" customWidth="1"/>
    <col min="12" max="12" width="9.42578125" style="1" hidden="1" customWidth="1"/>
    <col min="13" max="15" width="9" style="1" hidden="1" customWidth="1"/>
    <col min="16" max="16" width="7.42578125" style="1" hidden="1" customWidth="1"/>
    <col min="17" max="22" width="8.85546875" style="1" hidden="1" customWidth="1"/>
    <col min="23" max="16384" width="8.85546875" style="1"/>
  </cols>
  <sheetData>
    <row r="1" spans="1:15" ht="21" thickBot="1" x14ac:dyDescent="0.35">
      <c r="A1" s="97" t="s">
        <v>63</v>
      </c>
      <c r="B1" s="97"/>
      <c r="C1" s="97"/>
      <c r="D1" s="97"/>
      <c r="E1" s="97"/>
      <c r="F1" s="97"/>
      <c r="J1" s="23" t="s">
        <v>96</v>
      </c>
      <c r="K1" s="24">
        <v>102</v>
      </c>
      <c r="L1" s="23" t="s">
        <v>98</v>
      </c>
    </row>
    <row r="2" spans="1:15" x14ac:dyDescent="0.2">
      <c r="A2" s="13" t="s">
        <v>44</v>
      </c>
      <c r="B2" s="14"/>
      <c r="C2" s="15"/>
      <c r="D2" s="23"/>
      <c r="E2" s="23"/>
      <c r="F2" s="23"/>
      <c r="J2" s="23" t="s">
        <v>97</v>
      </c>
      <c r="K2" s="24">
        <v>91.5</v>
      </c>
      <c r="L2" s="23" t="s">
        <v>98</v>
      </c>
    </row>
    <row r="3" spans="1:15" x14ac:dyDescent="0.2">
      <c r="A3" s="49" t="s">
        <v>2</v>
      </c>
      <c r="B3" s="90">
        <v>25</v>
      </c>
      <c r="C3" s="8" t="s">
        <v>56</v>
      </c>
      <c r="D3" s="23"/>
      <c r="E3" s="23"/>
      <c r="F3" s="23"/>
      <c r="J3" s="23" t="s">
        <v>42</v>
      </c>
      <c r="K3" s="24">
        <v>0.18</v>
      </c>
      <c r="L3" s="23" t="s">
        <v>108</v>
      </c>
    </row>
    <row r="4" spans="1:15" x14ac:dyDescent="0.2">
      <c r="A4" s="49" t="s">
        <v>0</v>
      </c>
      <c r="B4" s="91">
        <v>8760</v>
      </c>
      <c r="C4" s="8" t="s">
        <v>1</v>
      </c>
      <c r="D4" s="23"/>
      <c r="E4" s="23"/>
      <c r="F4" s="23"/>
      <c r="J4" s="23" t="s">
        <v>102</v>
      </c>
      <c r="L4" s="23"/>
    </row>
    <row r="5" spans="1:15" ht="14.25" x14ac:dyDescent="0.2">
      <c r="A5" s="69" t="s">
        <v>42</v>
      </c>
      <c r="B5" s="95">
        <f>K3</f>
        <v>0.18</v>
      </c>
      <c r="C5" s="10" t="s">
        <v>62</v>
      </c>
      <c r="D5" s="23"/>
      <c r="E5" s="23"/>
      <c r="F5" s="23"/>
      <c r="J5" s="23" t="s">
        <v>101</v>
      </c>
      <c r="L5" s="23"/>
    </row>
    <row r="6" spans="1:15" ht="13.5" thickBot="1" x14ac:dyDescent="0.25">
      <c r="A6" s="50" t="s">
        <v>58</v>
      </c>
      <c r="B6" s="94" t="s">
        <v>95</v>
      </c>
      <c r="C6" s="4"/>
      <c r="D6" s="23"/>
      <c r="E6" s="23"/>
      <c r="F6" s="23"/>
    </row>
    <row r="7" spans="1:15" ht="13.5" thickBot="1" x14ac:dyDescent="0.25">
      <c r="A7" s="48"/>
      <c r="B7" s="48"/>
      <c r="C7" s="48"/>
      <c r="D7" s="48"/>
      <c r="E7" s="40"/>
      <c r="F7" s="40"/>
      <c r="H7" s="33" t="s">
        <v>65</v>
      </c>
      <c r="I7" s="33" t="s">
        <v>58</v>
      </c>
      <c r="J7" s="33" t="s">
        <v>94</v>
      </c>
      <c r="K7" s="33" t="s">
        <v>90</v>
      </c>
      <c r="L7" s="33" t="s">
        <v>67</v>
      </c>
      <c r="M7" s="33" t="s">
        <v>68</v>
      </c>
      <c r="N7" s="33" t="s">
        <v>69</v>
      </c>
      <c r="O7" s="33" t="s">
        <v>82</v>
      </c>
    </row>
    <row r="8" spans="1:15" ht="42.75" customHeight="1" thickBot="1" x14ac:dyDescent="0.25">
      <c r="A8" s="16" t="s">
        <v>43</v>
      </c>
      <c r="B8" s="17" t="s">
        <v>48</v>
      </c>
      <c r="C8" s="17" t="s">
        <v>57</v>
      </c>
      <c r="D8" s="17" t="s">
        <v>50</v>
      </c>
      <c r="E8" s="17" t="s">
        <v>51</v>
      </c>
      <c r="F8" s="18" t="s">
        <v>45</v>
      </c>
      <c r="H8" s="27"/>
      <c r="I8" s="26" t="s">
        <v>61</v>
      </c>
      <c r="J8" s="26" t="s">
        <v>93</v>
      </c>
      <c r="K8" s="81">
        <v>15</v>
      </c>
      <c r="L8" s="28">
        <f>$K8/$K$1</f>
        <v>0.14705882352941177</v>
      </c>
      <c r="M8" s="29">
        <f>$L8*$B$3</f>
        <v>3.6764705882352944</v>
      </c>
      <c r="N8" s="29">
        <f>$M8*$B$4/2000</f>
        <v>16.102941176470591</v>
      </c>
      <c r="O8" s="27" t="str">
        <f>IF($E$9=N8,"Match","")</f>
        <v/>
      </c>
    </row>
    <row r="9" spans="1:15" ht="15.75" x14ac:dyDescent="0.3">
      <c r="A9" s="5" t="s">
        <v>3</v>
      </c>
      <c r="B9" s="92"/>
      <c r="C9" s="57">
        <f>IF(B9&gt;0,"",IF($B$6="Butane",IF($B$3&gt;10,$K$8,$K$9),IF($B$3&gt;10,$K$10,$K$11)))</f>
        <v>13</v>
      </c>
      <c r="D9" s="51">
        <f>IF(B9&gt;0,(B9/1000000)*46.1/385.44*((20.9/(20.9-3)))*8710,IF($B$6="Butane",C9/102,C9/91.5))*$B$3</f>
        <v>3.5519125683060109</v>
      </c>
      <c r="E9" s="51">
        <f t="shared" ref="E9:E15" si="0">D9*$B$4/2000</f>
        <v>15.557377049180328</v>
      </c>
      <c r="F9" s="98" t="s">
        <v>59</v>
      </c>
      <c r="H9" s="27"/>
      <c r="I9" s="26" t="s">
        <v>61</v>
      </c>
      <c r="J9" s="26" t="s">
        <v>89</v>
      </c>
      <c r="K9" s="81">
        <v>15</v>
      </c>
      <c r="L9" s="28">
        <f>$K9/$K$1</f>
        <v>0.14705882352941177</v>
      </c>
      <c r="M9" s="29">
        <f>$L9*$B$3</f>
        <v>3.6764705882352944</v>
      </c>
      <c r="N9" s="29">
        <f>$M9*$B$4/2000</f>
        <v>16.102941176470591</v>
      </c>
      <c r="O9" s="27" t="str">
        <f t="shared" ref="O9:O11" si="1">IF($E$9=N9,"Match","")</f>
        <v/>
      </c>
    </row>
    <row r="10" spans="1:15" x14ac:dyDescent="0.2">
      <c r="A10" s="6" t="s">
        <v>4</v>
      </c>
      <c r="B10" s="93"/>
      <c r="C10" s="59">
        <f>IF(B10&gt;0,"",IF($B$6="Butane",IF($B$3&gt;10,$K$14,$K$15),IF($B$3&gt;10,$K$16,$K$17)))</f>
        <v>7.5</v>
      </c>
      <c r="D10" s="52">
        <f>IF(B10&gt;0,(B10/1000000)*28.01/385.44*((20.9/(20.9-3)))*8710,IF($B$6="Butane",C10/102,C10/91.5))*$B$3</f>
        <v>2.0491803278688523</v>
      </c>
      <c r="E10" s="52">
        <f t="shared" si="0"/>
        <v>8.9754098360655732</v>
      </c>
      <c r="F10" s="96"/>
      <c r="H10" s="27"/>
      <c r="I10" s="26" t="s">
        <v>95</v>
      </c>
      <c r="J10" s="26" t="s">
        <v>93</v>
      </c>
      <c r="K10" s="81">
        <v>13</v>
      </c>
      <c r="L10" s="28">
        <f>$K10/$K$2</f>
        <v>0.14207650273224043</v>
      </c>
      <c r="M10" s="29">
        <f>$L10*$B$3</f>
        <v>3.5519125683060109</v>
      </c>
      <c r="N10" s="29">
        <f>$M10*$B$4/2000</f>
        <v>15.557377049180328</v>
      </c>
      <c r="O10" s="27" t="str">
        <f t="shared" si="1"/>
        <v>Match</v>
      </c>
    </row>
    <row r="11" spans="1:15" ht="15.75" x14ac:dyDescent="0.3">
      <c r="A11" s="9" t="s">
        <v>5</v>
      </c>
      <c r="B11" s="51"/>
      <c r="C11" s="53">
        <f>IF($B$6="Butane",IF($B$3&gt;10,$K$20,$K$21),IF($B$3&gt;10,$K$22,$K$23))</f>
        <v>0.7</v>
      </c>
      <c r="D11" s="54">
        <f>IF($B$6="Butane",C11*$B$3/102,C11*$B$3/91.5)</f>
        <v>0.19125683060109289</v>
      </c>
      <c r="E11" s="54">
        <f t="shared" si="0"/>
        <v>0.8377049180327869</v>
      </c>
      <c r="F11" s="96"/>
      <c r="H11" s="3"/>
      <c r="I11" s="35" t="s">
        <v>95</v>
      </c>
      <c r="J11" s="35" t="s">
        <v>89</v>
      </c>
      <c r="K11" s="85">
        <v>13</v>
      </c>
      <c r="L11" s="36">
        <f>$K11/$K$2</f>
        <v>0.14207650273224043</v>
      </c>
      <c r="M11" s="37">
        <f>$L11*$B$3</f>
        <v>3.5519125683060109</v>
      </c>
      <c r="N11" s="37">
        <f>$M11*$B$4/2000</f>
        <v>15.557377049180328</v>
      </c>
      <c r="O11" s="3" t="str">
        <f t="shared" si="1"/>
        <v>Match</v>
      </c>
    </row>
    <row r="12" spans="1:15" ht="15.75" x14ac:dyDescent="0.3">
      <c r="A12" s="6" t="s">
        <v>6</v>
      </c>
      <c r="B12" s="52"/>
      <c r="C12" s="55">
        <f>IF($B$6="Butane",IF($B$3&gt;10,$K$20,$K$21),IF($B$3&gt;10,$K$22,$K$23))</f>
        <v>0.7</v>
      </c>
      <c r="D12" s="52">
        <f>IF($B$6="Butane",C12*$B$3/102,C12*$B$3/91.5)</f>
        <v>0.19125683060109289</v>
      </c>
      <c r="E12" s="52">
        <f t="shared" si="0"/>
        <v>0.8377049180327869</v>
      </c>
      <c r="F12" s="96"/>
      <c r="H12" s="3"/>
      <c r="I12" s="35"/>
      <c r="J12" s="35"/>
      <c r="K12" s="3"/>
      <c r="L12" s="36"/>
      <c r="M12" s="37"/>
      <c r="N12" s="37"/>
      <c r="O12" s="3"/>
    </row>
    <row r="13" spans="1:15" ht="16.5" thickBot="1" x14ac:dyDescent="0.35">
      <c r="A13" s="9" t="s">
        <v>7</v>
      </c>
      <c r="B13" s="54"/>
      <c r="C13" s="53">
        <f>IF($B$6="Butane",IF($B$3&gt;10,$L$38,$L$39),IF($B$3&gt;10,$L$40,$L$41))</f>
        <v>1.7999999999999999E-2</v>
      </c>
      <c r="D13" s="54">
        <f>IF($B$6="Butane",C13*$B$3/102,C13*$B$3/91.5)</f>
        <v>4.9180327868852455E-3</v>
      </c>
      <c r="E13" s="54">
        <f t="shared" si="0"/>
        <v>2.1540983606557377E-2</v>
      </c>
      <c r="F13" s="96"/>
      <c r="H13" s="33" t="s">
        <v>4</v>
      </c>
      <c r="I13" s="33" t="s">
        <v>58</v>
      </c>
      <c r="J13" s="33" t="s">
        <v>94</v>
      </c>
      <c r="K13" s="33" t="s">
        <v>90</v>
      </c>
      <c r="L13" s="33" t="s">
        <v>67</v>
      </c>
      <c r="M13" s="33" t="s">
        <v>68</v>
      </c>
      <c r="N13" s="33" t="s">
        <v>69</v>
      </c>
      <c r="O13" s="33" t="s">
        <v>82</v>
      </c>
    </row>
    <row r="14" spans="1:15" x14ac:dyDescent="0.2">
      <c r="A14" s="6" t="s">
        <v>8</v>
      </c>
      <c r="B14" s="52"/>
      <c r="C14" s="70">
        <f>IF($B$6="Butane",IF($B$3&gt;10,$K$44,$K$45),IF($B$3&gt;10,$K$46,$K$47))</f>
        <v>1</v>
      </c>
      <c r="D14" s="52">
        <f>IF($B$6="Butane",C14*$B$3/102,C14*$B$3/91.5)</f>
        <v>0.27322404371584702</v>
      </c>
      <c r="E14" s="52">
        <f t="shared" si="0"/>
        <v>1.1967213114754101</v>
      </c>
      <c r="F14" s="96"/>
      <c r="H14" s="27"/>
      <c r="I14" s="26" t="s">
        <v>61</v>
      </c>
      <c r="J14" s="26" t="s">
        <v>93</v>
      </c>
      <c r="K14" s="81">
        <v>8.4</v>
      </c>
      <c r="L14" s="28">
        <f>$K14/$K$1</f>
        <v>8.2352941176470587E-2</v>
      </c>
      <c r="M14" s="29">
        <f>$L14*$B$3</f>
        <v>2.0588235294117645</v>
      </c>
      <c r="N14" s="29">
        <f>$M14*$B$4/2000</f>
        <v>9.0176470588235276</v>
      </c>
      <c r="O14" s="27" t="str">
        <f>IF($E$10=N14,"Match","")</f>
        <v/>
      </c>
    </row>
    <row r="15" spans="1:15" ht="13.5" thickBot="1" x14ac:dyDescent="0.25">
      <c r="A15" s="22" t="s">
        <v>53</v>
      </c>
      <c r="B15" s="71"/>
      <c r="C15" s="71"/>
      <c r="D15" s="72">
        <f>SUM(D24:D56)</f>
        <v>4.6273485294117643E-2</v>
      </c>
      <c r="E15" s="72">
        <f t="shared" si="0"/>
        <v>0.20267786558823528</v>
      </c>
      <c r="F15" s="12" t="s">
        <v>55</v>
      </c>
      <c r="H15" s="27"/>
      <c r="I15" s="26" t="s">
        <v>61</v>
      </c>
      <c r="J15" s="26" t="s">
        <v>89</v>
      </c>
      <c r="K15" s="81">
        <v>8.4</v>
      </c>
      <c r="L15" s="28">
        <f>$K15/$K$1</f>
        <v>8.2352941176470587E-2</v>
      </c>
      <c r="M15" s="29">
        <f>$L15*$B$3</f>
        <v>2.0588235294117645</v>
      </c>
      <c r="N15" s="29">
        <f>$M15*$B$4/2000</f>
        <v>9.0176470588235276</v>
      </c>
      <c r="O15" s="27" t="str">
        <f t="shared" ref="O15:O17" si="2">IF($E$10=N15,"Match","")</f>
        <v/>
      </c>
    </row>
    <row r="16" spans="1:15" ht="13.5" thickBot="1" x14ac:dyDescent="0.25">
      <c r="A16" s="2"/>
      <c r="B16" s="2"/>
      <c r="C16" s="35"/>
      <c r="D16" s="56"/>
      <c r="E16" s="56"/>
      <c r="F16" s="47"/>
      <c r="H16" s="27"/>
      <c r="I16" s="26" t="s">
        <v>95</v>
      </c>
      <c r="J16" s="26" t="s">
        <v>93</v>
      </c>
      <c r="K16" s="81">
        <v>7.5</v>
      </c>
      <c r="L16" s="28">
        <f>$K16/$K$2</f>
        <v>8.1967213114754092E-2</v>
      </c>
      <c r="M16" s="29">
        <f>$L16*$B$3</f>
        <v>2.0491803278688523</v>
      </c>
      <c r="N16" s="29">
        <f>$M16*$B$4/2000</f>
        <v>8.9754098360655732</v>
      </c>
      <c r="O16" s="27" t="str">
        <f t="shared" si="2"/>
        <v>Match</v>
      </c>
    </row>
    <row r="17" spans="1:15" ht="42.75" customHeight="1" thickBot="1" x14ac:dyDescent="0.25">
      <c r="A17" s="16" t="s">
        <v>52</v>
      </c>
      <c r="B17" s="17" t="s">
        <v>46</v>
      </c>
      <c r="C17" s="17" t="s">
        <v>57</v>
      </c>
      <c r="D17" s="17" t="s">
        <v>50</v>
      </c>
      <c r="E17" s="17" t="s">
        <v>51</v>
      </c>
      <c r="F17" s="18" t="s">
        <v>45</v>
      </c>
      <c r="H17" s="3"/>
      <c r="I17" s="35" t="s">
        <v>95</v>
      </c>
      <c r="J17" s="35" t="s">
        <v>89</v>
      </c>
      <c r="K17" s="85">
        <v>7.5</v>
      </c>
      <c r="L17" s="36">
        <f>$K17/$K$2</f>
        <v>8.1967213114754092E-2</v>
      </c>
      <c r="M17" s="37">
        <f>$L17*$B$3</f>
        <v>2.0491803278688523</v>
      </c>
      <c r="N17" s="37">
        <f>$M17*$B$4/2000</f>
        <v>8.9754098360655732</v>
      </c>
      <c r="O17" s="3" t="str">
        <f t="shared" si="2"/>
        <v>Match</v>
      </c>
    </row>
    <row r="18" spans="1:15" ht="15.75" x14ac:dyDescent="0.3">
      <c r="A18" s="5" t="s">
        <v>104</v>
      </c>
      <c r="B18" s="57">
        <v>1</v>
      </c>
      <c r="C18" s="58">
        <f>IF($B$6="Butane",IF($B$3&gt;10,$K$50,$K$51),IF($B$3&gt;10,$K$52,$K$53))</f>
        <v>12500</v>
      </c>
      <c r="D18" s="58">
        <f>IF($B$6="Butane",C18*$B$3/102,C18*$B$3/91.5)</f>
        <v>3415.3005464480875</v>
      </c>
      <c r="E18" s="58">
        <f>D18*$B$4/2000</f>
        <v>14959.016393442624</v>
      </c>
      <c r="F18" s="98" t="s">
        <v>60</v>
      </c>
      <c r="H18" s="3"/>
      <c r="I18" s="35"/>
      <c r="J18" s="35"/>
      <c r="K18" s="3"/>
      <c r="L18" s="36"/>
      <c r="M18" s="37"/>
      <c r="N18" s="37"/>
      <c r="O18" s="3"/>
    </row>
    <row r="19" spans="1:15" ht="13.5" thickBot="1" x14ac:dyDescent="0.25">
      <c r="A19" s="6" t="s">
        <v>47</v>
      </c>
      <c r="B19" s="59">
        <v>25</v>
      </c>
      <c r="C19" s="59">
        <f>IF($B$6="Butane",IF($B$3&gt;10,$K$56,$K$57),IF($B$3&gt;10,$K$58,$K$59))</f>
        <v>0.2</v>
      </c>
      <c r="D19" s="52">
        <f>IF($B$6="Butane",C19*$B$3/102,C19*$B$3/91.5)</f>
        <v>5.4644808743169397E-2</v>
      </c>
      <c r="E19" s="52">
        <f>D19*$B$4/2000</f>
        <v>0.23934426229508196</v>
      </c>
      <c r="F19" s="96"/>
      <c r="H19" s="33" t="s">
        <v>99</v>
      </c>
      <c r="I19" s="33" t="s">
        <v>58</v>
      </c>
      <c r="J19" s="33" t="s">
        <v>94</v>
      </c>
      <c r="K19" s="33" t="s">
        <v>90</v>
      </c>
      <c r="L19" s="33" t="s">
        <v>67</v>
      </c>
      <c r="M19" s="33" t="s">
        <v>68</v>
      </c>
      <c r="N19" s="33" t="s">
        <v>69</v>
      </c>
      <c r="O19" s="33" t="s">
        <v>82</v>
      </c>
    </row>
    <row r="20" spans="1:15" ht="15.75" x14ac:dyDescent="0.3">
      <c r="A20" s="9" t="s">
        <v>105</v>
      </c>
      <c r="B20" s="60">
        <v>298</v>
      </c>
      <c r="C20" s="60">
        <f>IF($B$6="Butane",IF($B$3&gt;10,$K$62,$K$63),IF($B$3&gt;10,$K$64,$K$65))</f>
        <v>0.9</v>
      </c>
      <c r="D20" s="54">
        <f>IF($B$6="Butane",C20*$B$3/102,C20*$B$3/91.5)</f>
        <v>0.24590163934426229</v>
      </c>
      <c r="E20" s="54">
        <f>D20*$B$4/2000</f>
        <v>1.0770491803278688</v>
      </c>
      <c r="F20" s="99"/>
      <c r="H20" s="27"/>
      <c r="I20" s="26" t="s">
        <v>61</v>
      </c>
      <c r="J20" s="26" t="s">
        <v>93</v>
      </c>
      <c r="K20" s="81">
        <v>0.8</v>
      </c>
      <c r="L20" s="28">
        <f>$K20/$K$1</f>
        <v>7.8431372549019607E-3</v>
      </c>
      <c r="M20" s="29">
        <f>$L20*$B$3</f>
        <v>0.19607843137254902</v>
      </c>
      <c r="N20" s="29">
        <f>$M20*$B$4/2000</f>
        <v>0.85882352941176465</v>
      </c>
      <c r="O20" s="27" t="str">
        <f>IF($E$11=N20,"Match","")</f>
        <v/>
      </c>
    </row>
    <row r="21" spans="1:15" ht="16.5" thickBot="1" x14ac:dyDescent="0.35">
      <c r="A21" s="11" t="s">
        <v>106</v>
      </c>
      <c r="B21" s="61"/>
      <c r="C21" s="62"/>
      <c r="D21" s="63"/>
      <c r="E21" s="63">
        <f>(D18*B18+D19*B19+D20*B20)*$B$4/2000</f>
        <v>15285.960655737705</v>
      </c>
      <c r="F21" s="100"/>
      <c r="H21" s="27"/>
      <c r="I21" s="26" t="s">
        <v>61</v>
      </c>
      <c r="J21" s="26" t="s">
        <v>89</v>
      </c>
      <c r="K21" s="81">
        <v>0.8</v>
      </c>
      <c r="L21" s="28">
        <f>$K21/$K$1</f>
        <v>7.8431372549019607E-3</v>
      </c>
      <c r="M21" s="29">
        <f>$L21*$B$3</f>
        <v>0.19607843137254902</v>
      </c>
      <c r="N21" s="29">
        <f>$M21*$B$4/2000</f>
        <v>0.85882352941176465</v>
      </c>
      <c r="O21" s="27" t="str">
        <f t="shared" ref="O21:O23" si="3">IF($E$11=N21,"Match","")</f>
        <v/>
      </c>
    </row>
    <row r="22" spans="1:15" ht="13.5" thickBot="1" x14ac:dyDescent="0.25">
      <c r="A22" s="35"/>
      <c r="B22" s="35"/>
      <c r="C22" s="35"/>
      <c r="D22" s="35"/>
      <c r="E22" s="35"/>
      <c r="F22" s="47"/>
      <c r="H22" s="27"/>
      <c r="I22" s="26" t="s">
        <v>95</v>
      </c>
      <c r="J22" s="26" t="s">
        <v>93</v>
      </c>
      <c r="K22" s="81">
        <v>0.7</v>
      </c>
      <c r="L22" s="28">
        <f>$K22/$K$2</f>
        <v>7.650273224043715E-3</v>
      </c>
      <c r="M22" s="29">
        <f>$L22*$B$3</f>
        <v>0.19125683060109289</v>
      </c>
      <c r="N22" s="29">
        <f>$M22*$B$4/2000</f>
        <v>0.8377049180327869</v>
      </c>
      <c r="O22" s="27" t="str">
        <f t="shared" si="3"/>
        <v>Match</v>
      </c>
    </row>
    <row r="23" spans="1:15" ht="42.75" customHeight="1" thickBot="1" x14ac:dyDescent="0.25">
      <c r="A23" s="16" t="s">
        <v>54</v>
      </c>
      <c r="B23" s="101" t="s">
        <v>49</v>
      </c>
      <c r="C23" s="102"/>
      <c r="D23" s="17" t="s">
        <v>50</v>
      </c>
      <c r="E23" s="17" t="s">
        <v>51</v>
      </c>
      <c r="F23" s="18" t="s">
        <v>45</v>
      </c>
      <c r="H23" s="3"/>
      <c r="I23" s="35" t="s">
        <v>95</v>
      </c>
      <c r="J23" s="35" t="s">
        <v>89</v>
      </c>
      <c r="K23" s="85">
        <v>0.7</v>
      </c>
      <c r="L23" s="36">
        <f>$K23/$K$2</f>
        <v>7.650273224043715E-3</v>
      </c>
      <c r="M23" s="37">
        <f>$L23*$B$3</f>
        <v>0.19125683060109289</v>
      </c>
      <c r="N23" s="37">
        <f>$M23*$B$4/2000</f>
        <v>0.8377049180327869</v>
      </c>
      <c r="O23" s="3" t="str">
        <f t="shared" si="3"/>
        <v>Match</v>
      </c>
    </row>
    <row r="24" spans="1:15" ht="12.75" customHeight="1" x14ac:dyDescent="0.2">
      <c r="A24" s="21" t="s">
        <v>9</v>
      </c>
      <c r="B24" s="73"/>
      <c r="C24" s="74">
        <f>K76</f>
        <v>2.4000000000000001E-5</v>
      </c>
      <c r="D24" s="64">
        <f t="shared" ref="D24:D56" si="4">C24*$B$3/1020</f>
        <v>5.8823529411764711E-7</v>
      </c>
      <c r="E24" s="64">
        <f t="shared" ref="E24:E56" si="5">D24*$B$4/2000</f>
        <v>2.5764705882352942E-6</v>
      </c>
      <c r="F24" s="108" t="s">
        <v>107</v>
      </c>
      <c r="H24" s="3"/>
      <c r="I24" s="35"/>
      <c r="J24" s="35"/>
      <c r="K24" s="3"/>
      <c r="L24" s="36"/>
      <c r="M24" s="37"/>
      <c r="N24" s="37"/>
      <c r="O24" s="3"/>
    </row>
    <row r="25" spans="1:15" ht="13.5" thickBot="1" x14ac:dyDescent="0.25">
      <c r="A25" s="20" t="s">
        <v>10</v>
      </c>
      <c r="B25" s="75"/>
      <c r="C25" s="76">
        <f t="shared" ref="C25:C47" si="6">K77</f>
        <v>1.7999999999999999E-6</v>
      </c>
      <c r="D25" s="65">
        <f t="shared" si="4"/>
        <v>4.4117647058823528E-8</v>
      </c>
      <c r="E25" s="65">
        <f t="shared" si="5"/>
        <v>1.9323529411764706E-7</v>
      </c>
      <c r="F25" s="105"/>
      <c r="H25" s="33" t="s">
        <v>91</v>
      </c>
      <c r="I25" s="33" t="s">
        <v>58</v>
      </c>
      <c r="J25" s="33" t="s">
        <v>94</v>
      </c>
      <c r="K25" s="33" t="s">
        <v>90</v>
      </c>
      <c r="L25" s="33" t="s">
        <v>67</v>
      </c>
      <c r="M25" s="33" t="s">
        <v>68</v>
      </c>
      <c r="N25" s="33" t="s">
        <v>69</v>
      </c>
      <c r="O25" s="33"/>
    </row>
    <row r="26" spans="1:15" x14ac:dyDescent="0.2">
      <c r="A26" s="19" t="s">
        <v>11</v>
      </c>
      <c r="B26" s="77"/>
      <c r="C26" s="78">
        <f t="shared" si="6"/>
        <v>1.5999999999999999E-5</v>
      </c>
      <c r="D26" s="66">
        <f t="shared" si="4"/>
        <v>3.9215686274509802E-7</v>
      </c>
      <c r="E26" s="66">
        <f t="shared" si="5"/>
        <v>1.7176470588235292E-6</v>
      </c>
      <c r="F26" s="105"/>
      <c r="H26" s="27"/>
      <c r="I26" s="26" t="s">
        <v>61</v>
      </c>
      <c r="J26" s="26" t="s">
        <v>93</v>
      </c>
      <c r="K26" s="81">
        <v>0.2</v>
      </c>
      <c r="L26" s="28">
        <f>$K26/$K$1</f>
        <v>1.9607843137254902E-3</v>
      </c>
      <c r="M26" s="29">
        <f>$L26*$B$3</f>
        <v>4.9019607843137254E-2</v>
      </c>
      <c r="N26" s="29">
        <f>$M26*$B$4/2000</f>
        <v>0.21470588235294116</v>
      </c>
      <c r="O26" s="27"/>
    </row>
    <row r="27" spans="1:15" x14ac:dyDescent="0.2">
      <c r="A27" s="20" t="s">
        <v>12</v>
      </c>
      <c r="B27" s="75"/>
      <c r="C27" s="76">
        <f t="shared" si="6"/>
        <v>1.7999999999999999E-6</v>
      </c>
      <c r="D27" s="65">
        <f t="shared" si="4"/>
        <v>4.4117647058823528E-8</v>
      </c>
      <c r="E27" s="65">
        <f t="shared" si="5"/>
        <v>1.9323529411764706E-7</v>
      </c>
      <c r="F27" s="105"/>
      <c r="H27" s="27"/>
      <c r="I27" s="26" t="s">
        <v>61</v>
      </c>
      <c r="J27" s="26" t="s">
        <v>89</v>
      </c>
      <c r="K27" s="81">
        <v>0.2</v>
      </c>
      <c r="L27" s="28">
        <f>$K27/$K$1</f>
        <v>1.9607843137254902E-3</v>
      </c>
      <c r="M27" s="29">
        <f>$L27*$B$3</f>
        <v>4.9019607843137254E-2</v>
      </c>
      <c r="N27" s="29">
        <f>$M27*$B$4/2000</f>
        <v>0.21470588235294116</v>
      </c>
      <c r="O27" s="27"/>
    </row>
    <row r="28" spans="1:15" x14ac:dyDescent="0.2">
      <c r="A28" s="19" t="s">
        <v>13</v>
      </c>
      <c r="B28" s="77"/>
      <c r="C28" s="78">
        <f t="shared" si="6"/>
        <v>1.7999999999999999E-6</v>
      </c>
      <c r="D28" s="66">
        <f t="shared" si="4"/>
        <v>4.4117647058823528E-8</v>
      </c>
      <c r="E28" s="66">
        <f t="shared" si="5"/>
        <v>1.9323529411764706E-7</v>
      </c>
      <c r="F28" s="105"/>
      <c r="H28" s="27"/>
      <c r="I28" s="26" t="s">
        <v>95</v>
      </c>
      <c r="J28" s="26" t="s">
        <v>93</v>
      </c>
      <c r="K28" s="81">
        <v>0.2</v>
      </c>
      <c r="L28" s="28">
        <f>$K28/$K$2</f>
        <v>2.185792349726776E-3</v>
      </c>
      <c r="M28" s="29">
        <f>$L28*$B$3</f>
        <v>5.4644808743169397E-2</v>
      </c>
      <c r="N28" s="29">
        <f>$M28*$B$4/2000</f>
        <v>0.23934426229508196</v>
      </c>
      <c r="O28" s="27"/>
    </row>
    <row r="29" spans="1:15" x14ac:dyDescent="0.2">
      <c r="A29" s="20" t="s">
        <v>14</v>
      </c>
      <c r="B29" s="75"/>
      <c r="C29" s="76">
        <f t="shared" si="6"/>
        <v>2.3999999999999999E-6</v>
      </c>
      <c r="D29" s="65">
        <f t="shared" si="4"/>
        <v>5.8823529411764702E-8</v>
      </c>
      <c r="E29" s="65">
        <f t="shared" si="5"/>
        <v>2.5764705882352937E-7</v>
      </c>
      <c r="F29" s="105"/>
      <c r="H29" s="3"/>
      <c r="I29" s="35" t="s">
        <v>95</v>
      </c>
      <c r="J29" s="35" t="s">
        <v>89</v>
      </c>
      <c r="K29" s="85">
        <v>0.2</v>
      </c>
      <c r="L29" s="36">
        <f>$K29/$K$2</f>
        <v>2.185792349726776E-3</v>
      </c>
      <c r="M29" s="37">
        <f>$L29*$B$3</f>
        <v>5.4644808743169397E-2</v>
      </c>
      <c r="N29" s="37">
        <f>$M29*$B$4/2000</f>
        <v>0.23934426229508196</v>
      </c>
      <c r="O29" s="3"/>
    </row>
    <row r="30" spans="1:15" x14ac:dyDescent="0.2">
      <c r="A30" s="19" t="s">
        <v>15</v>
      </c>
      <c r="B30" s="77"/>
      <c r="C30" s="78">
        <f t="shared" si="6"/>
        <v>1.7999999999999999E-6</v>
      </c>
      <c r="D30" s="66">
        <f t="shared" si="4"/>
        <v>4.4117647058823528E-8</v>
      </c>
      <c r="E30" s="66">
        <f t="shared" si="5"/>
        <v>1.9323529411764706E-7</v>
      </c>
      <c r="F30" s="105"/>
      <c r="H30" s="3"/>
      <c r="I30" s="35"/>
      <c r="J30" s="35"/>
      <c r="K30" s="3"/>
      <c r="L30" s="36"/>
      <c r="M30" s="37"/>
      <c r="N30" s="37"/>
      <c r="O30" s="3"/>
    </row>
    <row r="31" spans="1:15" ht="13.5" thickBot="1" x14ac:dyDescent="0.25">
      <c r="A31" s="20" t="s">
        <v>16</v>
      </c>
      <c r="B31" s="75"/>
      <c r="C31" s="76">
        <f t="shared" si="6"/>
        <v>2.0999999999999999E-3</v>
      </c>
      <c r="D31" s="65">
        <f t="shared" si="4"/>
        <v>5.1470588235294113E-5</v>
      </c>
      <c r="E31" s="65">
        <f t="shared" si="5"/>
        <v>2.2544117647058822E-4</v>
      </c>
      <c r="F31" s="105"/>
      <c r="H31" s="33" t="s">
        <v>100</v>
      </c>
      <c r="I31" s="33" t="s">
        <v>58</v>
      </c>
      <c r="J31" s="33" t="s">
        <v>94</v>
      </c>
      <c r="K31" s="33" t="s">
        <v>90</v>
      </c>
      <c r="L31" s="33" t="s">
        <v>67</v>
      </c>
      <c r="M31" s="33" t="s">
        <v>68</v>
      </c>
      <c r="N31" s="33" t="s">
        <v>69</v>
      </c>
      <c r="O31" s="33"/>
    </row>
    <row r="32" spans="1:15" x14ac:dyDescent="0.2">
      <c r="A32" s="19" t="s">
        <v>17</v>
      </c>
      <c r="B32" s="77"/>
      <c r="C32" s="78">
        <f t="shared" si="6"/>
        <v>1.1999999999999999E-6</v>
      </c>
      <c r="D32" s="66">
        <f t="shared" si="4"/>
        <v>2.9411764705882351E-8</v>
      </c>
      <c r="E32" s="66">
        <f t="shared" si="5"/>
        <v>1.2882352941176469E-7</v>
      </c>
      <c r="F32" s="105"/>
      <c r="H32" s="27"/>
      <c r="I32" s="26" t="s">
        <v>61</v>
      </c>
      <c r="J32" s="26" t="s">
        <v>93</v>
      </c>
      <c r="K32" s="81">
        <v>0.6</v>
      </c>
      <c r="L32" s="28">
        <f>$K32/$K$1</f>
        <v>5.8823529411764705E-3</v>
      </c>
      <c r="M32" s="29">
        <f>$L32*$B$3</f>
        <v>0.14705882352941177</v>
      </c>
      <c r="N32" s="29">
        <f>$M32*$B$4/2000</f>
        <v>0.64411764705882357</v>
      </c>
      <c r="O32" s="27"/>
    </row>
    <row r="33" spans="1:16" x14ac:dyDescent="0.2">
      <c r="A33" s="20" t="s">
        <v>18</v>
      </c>
      <c r="B33" s="75"/>
      <c r="C33" s="76">
        <f t="shared" si="6"/>
        <v>1.7999999999999999E-6</v>
      </c>
      <c r="D33" s="65">
        <f t="shared" si="4"/>
        <v>4.4117647058823528E-8</v>
      </c>
      <c r="E33" s="65">
        <f t="shared" si="5"/>
        <v>1.9323529411764706E-7</v>
      </c>
      <c r="F33" s="105"/>
      <c r="H33" s="27"/>
      <c r="I33" s="26" t="s">
        <v>61</v>
      </c>
      <c r="J33" s="26" t="s">
        <v>89</v>
      </c>
      <c r="K33" s="81">
        <v>0.6</v>
      </c>
      <c r="L33" s="28">
        <f>$K33/$K$1</f>
        <v>5.8823529411764705E-3</v>
      </c>
      <c r="M33" s="29">
        <f>$L33*$B$3</f>
        <v>0.14705882352941177</v>
      </c>
      <c r="N33" s="29">
        <f>$M33*$B$4/2000</f>
        <v>0.64411764705882357</v>
      </c>
      <c r="O33" s="27"/>
    </row>
    <row r="34" spans="1:16" x14ac:dyDescent="0.2">
      <c r="A34" s="19" t="s">
        <v>19</v>
      </c>
      <c r="B34" s="77"/>
      <c r="C34" s="78">
        <f t="shared" si="6"/>
        <v>1.1999999999999999E-6</v>
      </c>
      <c r="D34" s="66">
        <f t="shared" si="4"/>
        <v>2.9411764705882351E-8</v>
      </c>
      <c r="E34" s="66">
        <f t="shared" si="5"/>
        <v>1.2882352941176469E-7</v>
      </c>
      <c r="F34" s="105"/>
      <c r="H34" s="27"/>
      <c r="I34" s="26" t="s">
        <v>95</v>
      </c>
      <c r="J34" s="26" t="s">
        <v>93</v>
      </c>
      <c r="K34" s="81">
        <v>0.5</v>
      </c>
      <c r="L34" s="28">
        <f>$K34/$K$2</f>
        <v>5.4644808743169399E-3</v>
      </c>
      <c r="M34" s="29">
        <f>$L34*$B$3</f>
        <v>0.13661202185792351</v>
      </c>
      <c r="N34" s="29">
        <f>$M34*$B$4/2000</f>
        <v>0.59836065573770503</v>
      </c>
      <c r="O34" s="27"/>
    </row>
    <row r="35" spans="1:16" x14ac:dyDescent="0.2">
      <c r="A35" s="20" t="s">
        <v>20</v>
      </c>
      <c r="B35" s="75"/>
      <c r="C35" s="76">
        <f t="shared" si="6"/>
        <v>1.7999999999999999E-6</v>
      </c>
      <c r="D35" s="65">
        <f t="shared" si="4"/>
        <v>4.4117647058823528E-8</v>
      </c>
      <c r="E35" s="65">
        <f t="shared" si="5"/>
        <v>1.9323529411764706E-7</v>
      </c>
      <c r="F35" s="105"/>
      <c r="H35" s="3"/>
      <c r="I35" s="35" t="s">
        <v>95</v>
      </c>
      <c r="J35" s="35" t="s">
        <v>89</v>
      </c>
      <c r="K35" s="85">
        <v>0.5</v>
      </c>
      <c r="L35" s="36">
        <f>$K35/$K$2</f>
        <v>5.4644808743169399E-3</v>
      </c>
      <c r="M35" s="37">
        <f>$L35*$B$3</f>
        <v>0.13661202185792351</v>
      </c>
      <c r="N35" s="37">
        <f>$M35*$B$4/2000</f>
        <v>0.59836065573770503</v>
      </c>
      <c r="O35" s="3"/>
    </row>
    <row r="36" spans="1:16" x14ac:dyDescent="0.2">
      <c r="A36" s="19" t="s">
        <v>21</v>
      </c>
      <c r="B36" s="77"/>
      <c r="C36" s="78">
        <f t="shared" si="6"/>
        <v>1.7999999999999999E-6</v>
      </c>
      <c r="D36" s="66">
        <f t="shared" si="4"/>
        <v>4.4117647058823528E-8</v>
      </c>
      <c r="E36" s="66">
        <f t="shared" si="5"/>
        <v>1.9323529411764706E-7</v>
      </c>
      <c r="F36" s="105"/>
      <c r="H36" s="3"/>
      <c r="I36" s="35"/>
      <c r="J36" s="35"/>
      <c r="K36" s="3"/>
      <c r="L36" s="36"/>
      <c r="M36" s="37"/>
      <c r="N36" s="37"/>
      <c r="O36" s="3"/>
    </row>
    <row r="37" spans="1:16" ht="13.5" thickBot="1" x14ac:dyDescent="0.25">
      <c r="A37" s="20" t="s">
        <v>22</v>
      </c>
      <c r="B37" s="75"/>
      <c r="C37" s="76">
        <f t="shared" si="6"/>
        <v>1.1999999999999999E-6</v>
      </c>
      <c r="D37" s="65">
        <f t="shared" si="4"/>
        <v>2.9411764705882351E-8</v>
      </c>
      <c r="E37" s="65">
        <f t="shared" si="5"/>
        <v>1.2882352941176469E-7</v>
      </c>
      <c r="F37" s="105"/>
      <c r="H37" s="33" t="s">
        <v>73</v>
      </c>
      <c r="I37" s="33" t="s">
        <v>58</v>
      </c>
      <c r="J37" s="33" t="s">
        <v>94</v>
      </c>
      <c r="K37" s="33" t="s">
        <v>92</v>
      </c>
      <c r="L37" s="33" t="s">
        <v>90</v>
      </c>
      <c r="M37" s="33" t="s">
        <v>67</v>
      </c>
      <c r="N37" s="33" t="s">
        <v>68</v>
      </c>
      <c r="O37" s="33" t="s">
        <v>69</v>
      </c>
      <c r="P37" s="33" t="s">
        <v>82</v>
      </c>
    </row>
    <row r="38" spans="1:16" x14ac:dyDescent="0.2">
      <c r="A38" s="19" t="s">
        <v>23</v>
      </c>
      <c r="B38" s="77"/>
      <c r="C38" s="78">
        <f t="shared" si="6"/>
        <v>1.1999999999999999E-3</v>
      </c>
      <c r="D38" s="66">
        <f t="shared" si="4"/>
        <v>2.941176470588235E-5</v>
      </c>
      <c r="E38" s="66">
        <f t="shared" si="5"/>
        <v>1.2882352941176469E-4</v>
      </c>
      <c r="F38" s="105"/>
      <c r="H38" s="27"/>
      <c r="I38" s="26" t="s">
        <v>61</v>
      </c>
      <c r="J38" s="26" t="s">
        <v>93</v>
      </c>
      <c r="K38" s="83">
        <v>0.09</v>
      </c>
      <c r="L38" s="27">
        <f>K38*$B$5</f>
        <v>1.6199999999999999E-2</v>
      </c>
      <c r="M38" s="28">
        <f>$L38/$K$1</f>
        <v>1.5882352941176469E-4</v>
      </c>
      <c r="N38" s="29">
        <f>$M38*$B$3</f>
        <v>3.9705882352941172E-3</v>
      </c>
      <c r="O38" s="29">
        <f>$N38*$B$4/2000</f>
        <v>1.7391176470588236E-2</v>
      </c>
      <c r="P38" s="27" t="str">
        <f>IF($E$13=O38,"Match","")</f>
        <v/>
      </c>
    </row>
    <row r="39" spans="1:16" x14ac:dyDescent="0.2">
      <c r="A39" s="20" t="s">
        <v>24</v>
      </c>
      <c r="B39" s="75"/>
      <c r="C39" s="76">
        <f t="shared" si="6"/>
        <v>3.0000000000000001E-6</v>
      </c>
      <c r="D39" s="65">
        <f t="shared" si="4"/>
        <v>7.3529411764705889E-8</v>
      </c>
      <c r="E39" s="65">
        <f t="shared" si="5"/>
        <v>3.2205882352941177E-7</v>
      </c>
      <c r="F39" s="105"/>
      <c r="H39" s="27"/>
      <c r="I39" s="26" t="s">
        <v>61</v>
      </c>
      <c r="J39" s="26" t="s">
        <v>89</v>
      </c>
      <c r="K39" s="83">
        <v>0.09</v>
      </c>
      <c r="L39" s="27">
        <f t="shared" ref="L39:L41" si="7">K39*$B$5</f>
        <v>1.6199999999999999E-2</v>
      </c>
      <c r="M39" s="28">
        <f>$L39/$K$1</f>
        <v>1.5882352941176469E-4</v>
      </c>
      <c r="N39" s="29">
        <f>$M39*$B$3</f>
        <v>3.9705882352941172E-3</v>
      </c>
      <c r="O39" s="29">
        <f>$N39*$B$4/2000</f>
        <v>1.7391176470588236E-2</v>
      </c>
      <c r="P39" s="27" t="str">
        <f t="shared" ref="P39:P41" si="8">IF($E$13=O39,"Match","")</f>
        <v/>
      </c>
    </row>
    <row r="40" spans="1:16" x14ac:dyDescent="0.2">
      <c r="A40" s="19" t="s">
        <v>25</v>
      </c>
      <c r="B40" s="77"/>
      <c r="C40" s="78">
        <f t="shared" si="6"/>
        <v>2.7999999999999999E-6</v>
      </c>
      <c r="D40" s="66">
        <f t="shared" si="4"/>
        <v>6.8627450980392145E-8</v>
      </c>
      <c r="E40" s="66">
        <f t="shared" si="5"/>
        <v>3.005882352941176E-7</v>
      </c>
      <c r="F40" s="105"/>
      <c r="H40" s="27"/>
      <c r="I40" s="26" t="s">
        <v>95</v>
      </c>
      <c r="J40" s="26" t="s">
        <v>93</v>
      </c>
      <c r="K40" s="83">
        <v>0.1</v>
      </c>
      <c r="L40" s="27">
        <f t="shared" si="7"/>
        <v>1.7999999999999999E-2</v>
      </c>
      <c r="M40" s="28">
        <f>$L40/$K$2</f>
        <v>1.9672131147540983E-4</v>
      </c>
      <c r="N40" s="29">
        <f>$M40*$B$3</f>
        <v>4.9180327868852455E-3</v>
      </c>
      <c r="O40" s="29">
        <f>$N40*$B$4/2000</f>
        <v>2.1540983606557377E-2</v>
      </c>
      <c r="P40" s="27" t="str">
        <f t="shared" si="8"/>
        <v>Match</v>
      </c>
    </row>
    <row r="41" spans="1:16" x14ac:dyDescent="0.2">
      <c r="A41" s="20" t="s">
        <v>26</v>
      </c>
      <c r="B41" s="75"/>
      <c r="C41" s="76">
        <f t="shared" si="6"/>
        <v>7.4999999999999997E-2</v>
      </c>
      <c r="D41" s="65">
        <f t="shared" si="4"/>
        <v>1.838235294117647E-3</v>
      </c>
      <c r="E41" s="65">
        <f t="shared" si="5"/>
        <v>8.0514705882352936E-3</v>
      </c>
      <c r="F41" s="105"/>
      <c r="H41" s="3"/>
      <c r="I41" s="35" t="s">
        <v>95</v>
      </c>
      <c r="J41" s="35" t="s">
        <v>89</v>
      </c>
      <c r="K41" s="86">
        <v>0.1</v>
      </c>
      <c r="L41" s="3">
        <f t="shared" si="7"/>
        <v>1.7999999999999999E-2</v>
      </c>
      <c r="M41" s="36">
        <f>$L41/$K$2</f>
        <v>1.9672131147540983E-4</v>
      </c>
      <c r="N41" s="37">
        <f>$M41*$B$3</f>
        <v>4.9180327868852455E-3</v>
      </c>
      <c r="O41" s="37">
        <f>$N41*$B$4/2000</f>
        <v>2.1540983606557377E-2</v>
      </c>
      <c r="P41" s="3" t="str">
        <f t="shared" si="8"/>
        <v>Match</v>
      </c>
    </row>
    <row r="42" spans="1:16" x14ac:dyDescent="0.2">
      <c r="A42" s="19" t="s">
        <v>27</v>
      </c>
      <c r="B42" s="77"/>
      <c r="C42" s="78">
        <f t="shared" si="6"/>
        <v>1.8</v>
      </c>
      <c r="D42" s="66">
        <f t="shared" si="4"/>
        <v>4.4117647058823532E-2</v>
      </c>
      <c r="E42" s="66">
        <f t="shared" si="5"/>
        <v>0.19323529411764706</v>
      </c>
      <c r="F42" s="105"/>
      <c r="H42" s="3"/>
      <c r="I42" s="35"/>
      <c r="J42" s="35"/>
      <c r="K42" s="3"/>
      <c r="L42" s="36"/>
      <c r="M42" s="37"/>
      <c r="N42" s="37"/>
      <c r="O42" s="3"/>
    </row>
    <row r="43" spans="1:16" ht="13.5" thickBot="1" x14ac:dyDescent="0.25">
      <c r="A43" s="20" t="s">
        <v>28</v>
      </c>
      <c r="B43" s="75"/>
      <c r="C43" s="76">
        <f t="shared" si="6"/>
        <v>1.7999999999999999E-6</v>
      </c>
      <c r="D43" s="65">
        <f t="shared" si="4"/>
        <v>4.4117647058823528E-8</v>
      </c>
      <c r="E43" s="65">
        <f t="shared" si="5"/>
        <v>1.9323529411764706E-7</v>
      </c>
      <c r="F43" s="105"/>
      <c r="H43" s="33" t="s">
        <v>8</v>
      </c>
      <c r="I43" s="33" t="s">
        <v>58</v>
      </c>
      <c r="J43" s="33" t="s">
        <v>94</v>
      </c>
      <c r="K43" s="33" t="s">
        <v>90</v>
      </c>
      <c r="L43" s="33" t="s">
        <v>67</v>
      </c>
      <c r="M43" s="33" t="s">
        <v>68</v>
      </c>
      <c r="N43" s="33" t="s">
        <v>69</v>
      </c>
      <c r="O43" s="33"/>
    </row>
    <row r="44" spans="1:16" x14ac:dyDescent="0.2">
      <c r="A44" s="19" t="s">
        <v>29</v>
      </c>
      <c r="B44" s="77"/>
      <c r="C44" s="78">
        <f t="shared" si="6"/>
        <v>6.0999999999999997E-4</v>
      </c>
      <c r="D44" s="66">
        <f t="shared" si="4"/>
        <v>1.4950980392156863E-5</v>
      </c>
      <c r="E44" s="66">
        <f t="shared" si="5"/>
        <v>6.5485294117647054E-5</v>
      </c>
      <c r="F44" s="105"/>
      <c r="H44" s="27"/>
      <c r="I44" s="26" t="s">
        <v>61</v>
      </c>
      <c r="J44" s="26" t="s">
        <v>93</v>
      </c>
      <c r="K44" s="87">
        <v>1.1000000000000001</v>
      </c>
      <c r="L44" s="28">
        <f>$K44/$K$1</f>
        <v>1.0784313725490198E-2</v>
      </c>
      <c r="M44" s="29">
        <f>$L44*$B$3</f>
        <v>0.26960784313725494</v>
      </c>
      <c r="N44" s="29">
        <f>$M44*$B$4/2000</f>
        <v>1.1808823529411765</v>
      </c>
      <c r="O44" s="27" t="str">
        <f>IF($E$14=N44,"Match","")</f>
        <v/>
      </c>
    </row>
    <row r="45" spans="1:16" x14ac:dyDescent="0.2">
      <c r="A45" s="20" t="s">
        <v>30</v>
      </c>
      <c r="B45" s="75"/>
      <c r="C45" s="76">
        <f t="shared" si="6"/>
        <v>1.7E-5</v>
      </c>
      <c r="D45" s="65">
        <f t="shared" si="4"/>
        <v>4.1666666666666667E-7</v>
      </c>
      <c r="E45" s="65">
        <f t="shared" si="5"/>
        <v>1.8250000000000001E-6</v>
      </c>
      <c r="F45" s="105"/>
      <c r="H45" s="27"/>
      <c r="I45" s="26" t="s">
        <v>61</v>
      </c>
      <c r="J45" s="26" t="s">
        <v>89</v>
      </c>
      <c r="K45" s="87">
        <v>1.1000000000000001</v>
      </c>
      <c r="L45" s="28">
        <f>$K45/$K$1</f>
        <v>1.0784313725490198E-2</v>
      </c>
      <c r="M45" s="29">
        <f>$L45*$B$3</f>
        <v>0.26960784313725494</v>
      </c>
      <c r="N45" s="29">
        <f>$M45*$B$4/2000</f>
        <v>1.1808823529411765</v>
      </c>
      <c r="O45" s="27" t="str">
        <f t="shared" ref="O45:O47" si="9">IF($E$14=N45,"Match","")</f>
        <v/>
      </c>
    </row>
    <row r="46" spans="1:16" x14ac:dyDescent="0.2">
      <c r="A46" s="19" t="s">
        <v>31</v>
      </c>
      <c r="B46" s="77"/>
      <c r="C46" s="78">
        <f t="shared" si="6"/>
        <v>5.0000000000000004E-6</v>
      </c>
      <c r="D46" s="66">
        <f t="shared" si="4"/>
        <v>1.2254901960784314E-7</v>
      </c>
      <c r="E46" s="66">
        <f t="shared" si="5"/>
        <v>5.3676470588235292E-7</v>
      </c>
      <c r="F46" s="105"/>
      <c r="H46" s="27"/>
      <c r="I46" s="26" t="s">
        <v>95</v>
      </c>
      <c r="J46" s="26" t="s">
        <v>93</v>
      </c>
      <c r="K46" s="87">
        <v>1</v>
      </c>
      <c r="L46" s="28">
        <f>$K46/$K$2</f>
        <v>1.092896174863388E-2</v>
      </c>
      <c r="M46" s="29">
        <f>$L46*$B$3</f>
        <v>0.27322404371584702</v>
      </c>
      <c r="N46" s="29">
        <f>$M46*$B$4/2000</f>
        <v>1.1967213114754101</v>
      </c>
      <c r="O46" s="27" t="str">
        <f t="shared" si="9"/>
        <v>Match</v>
      </c>
    </row>
    <row r="47" spans="1:16" x14ac:dyDescent="0.2">
      <c r="A47" s="20" t="s">
        <v>32</v>
      </c>
      <c r="B47" s="75"/>
      <c r="C47" s="76">
        <f t="shared" si="6"/>
        <v>3.3999999999999998E-3</v>
      </c>
      <c r="D47" s="65">
        <f t="shared" si="4"/>
        <v>8.3333333333333331E-5</v>
      </c>
      <c r="E47" s="65">
        <f t="shared" si="5"/>
        <v>3.6499999999999998E-4</v>
      </c>
      <c r="F47" s="105"/>
      <c r="H47" s="3"/>
      <c r="I47" s="35" t="s">
        <v>95</v>
      </c>
      <c r="J47" s="35" t="s">
        <v>89</v>
      </c>
      <c r="K47" s="88">
        <v>1</v>
      </c>
      <c r="L47" s="36">
        <f>$K47/$K$2</f>
        <v>1.092896174863388E-2</v>
      </c>
      <c r="M47" s="37">
        <f>$L47*$B$3</f>
        <v>0.27322404371584702</v>
      </c>
      <c r="N47" s="37">
        <f>$M47*$B$4/2000</f>
        <v>1.1967213114754101</v>
      </c>
      <c r="O47" s="27" t="str">
        <f t="shared" si="9"/>
        <v>Match</v>
      </c>
    </row>
    <row r="48" spans="1:16" x14ac:dyDescent="0.2">
      <c r="A48" s="19" t="s">
        <v>33</v>
      </c>
      <c r="B48" s="77"/>
      <c r="C48" s="78">
        <f>K102</f>
        <v>2.0000000000000001E-4</v>
      </c>
      <c r="D48" s="66">
        <f t="shared" si="4"/>
        <v>4.9019607843137256E-6</v>
      </c>
      <c r="E48" s="66">
        <f t="shared" si="5"/>
        <v>2.1470588235294119E-5</v>
      </c>
      <c r="F48" s="105"/>
      <c r="H48" s="3"/>
      <c r="I48" s="35"/>
      <c r="J48" s="35"/>
      <c r="K48" s="3"/>
      <c r="L48" s="36"/>
      <c r="M48" s="37"/>
      <c r="N48" s="37"/>
      <c r="O48" s="3"/>
    </row>
    <row r="49" spans="1:15" ht="13.5" thickBot="1" x14ac:dyDescent="0.25">
      <c r="A49" s="20" t="s">
        <v>34</v>
      </c>
      <c r="B49" s="75"/>
      <c r="C49" s="76">
        <f t="shared" ref="C49:C56" si="10">K103</f>
        <v>1.2E-5</v>
      </c>
      <c r="D49" s="65">
        <f t="shared" si="4"/>
        <v>2.9411764705882356E-7</v>
      </c>
      <c r="E49" s="65">
        <f t="shared" si="5"/>
        <v>1.2882352941176471E-6</v>
      </c>
      <c r="F49" s="105"/>
      <c r="H49" s="33" t="s">
        <v>71</v>
      </c>
      <c r="I49" s="33" t="s">
        <v>58</v>
      </c>
      <c r="J49" s="33" t="s">
        <v>94</v>
      </c>
      <c r="K49" s="33" t="s">
        <v>90</v>
      </c>
      <c r="L49" s="33" t="s">
        <v>67</v>
      </c>
      <c r="M49" s="33" t="s">
        <v>68</v>
      </c>
      <c r="N49" s="33" t="s">
        <v>69</v>
      </c>
      <c r="O49" s="33"/>
    </row>
    <row r="50" spans="1:15" x14ac:dyDescent="0.2">
      <c r="A50" s="19" t="s">
        <v>35</v>
      </c>
      <c r="B50" s="77"/>
      <c r="C50" s="78">
        <f t="shared" si="10"/>
        <v>1.1000000000000001E-3</v>
      </c>
      <c r="D50" s="66">
        <f t="shared" si="4"/>
        <v>2.696078431372549E-5</v>
      </c>
      <c r="E50" s="66">
        <f t="shared" si="5"/>
        <v>1.1808823529411764E-4</v>
      </c>
      <c r="F50" s="105"/>
      <c r="H50" s="27"/>
      <c r="I50" s="26" t="s">
        <v>61</v>
      </c>
      <c r="J50" s="26" t="s">
        <v>93</v>
      </c>
      <c r="K50" s="84">
        <v>14300</v>
      </c>
      <c r="L50" s="28">
        <f>$K50/$K$1</f>
        <v>140.19607843137254</v>
      </c>
      <c r="M50" s="29">
        <f>$L50*$B$3</f>
        <v>3504.9019607843134</v>
      </c>
      <c r="N50" s="29">
        <f>$M50*$B$4/2000</f>
        <v>15351.470588235292</v>
      </c>
      <c r="O50" s="27" t="str">
        <f>IF($E$18=N50,"Match","")</f>
        <v/>
      </c>
    </row>
    <row r="51" spans="1:15" x14ac:dyDescent="0.2">
      <c r="A51" s="20" t="s">
        <v>36</v>
      </c>
      <c r="B51" s="75"/>
      <c r="C51" s="76">
        <f t="shared" si="10"/>
        <v>1.4E-3</v>
      </c>
      <c r="D51" s="65">
        <f t="shared" si="4"/>
        <v>3.4313725490196078E-5</v>
      </c>
      <c r="E51" s="65">
        <f t="shared" si="5"/>
        <v>1.5029411764705882E-4</v>
      </c>
      <c r="F51" s="105"/>
      <c r="H51" s="27"/>
      <c r="I51" s="26" t="s">
        <v>61</v>
      </c>
      <c r="J51" s="26" t="s">
        <v>89</v>
      </c>
      <c r="K51" s="84">
        <v>14300</v>
      </c>
      <c r="L51" s="28">
        <f>$K51/$K$1</f>
        <v>140.19607843137254</v>
      </c>
      <c r="M51" s="29">
        <f>$L51*$B$3</f>
        <v>3504.9019607843134</v>
      </c>
      <c r="N51" s="29">
        <f>$M51*$B$4/2000</f>
        <v>15351.470588235292</v>
      </c>
      <c r="O51" s="27" t="str">
        <f t="shared" ref="O51:O53" si="11">IF($E$18=N51,"Match","")</f>
        <v/>
      </c>
    </row>
    <row r="52" spans="1:15" x14ac:dyDescent="0.2">
      <c r="A52" s="19" t="s">
        <v>37</v>
      </c>
      <c r="B52" s="77"/>
      <c r="C52" s="78">
        <f t="shared" si="10"/>
        <v>8.3999999999999995E-5</v>
      </c>
      <c r="D52" s="66">
        <f t="shared" si="4"/>
        <v>2.0588235294117645E-6</v>
      </c>
      <c r="E52" s="66">
        <f t="shared" si="5"/>
        <v>9.0176470588235279E-6</v>
      </c>
      <c r="F52" s="105"/>
      <c r="H52" s="27"/>
      <c r="I52" s="26" t="s">
        <v>95</v>
      </c>
      <c r="J52" s="26" t="s">
        <v>93</v>
      </c>
      <c r="K52" s="84">
        <v>12500</v>
      </c>
      <c r="L52" s="28">
        <f>$K52/$K$2</f>
        <v>136.61202185792351</v>
      </c>
      <c r="M52" s="29">
        <f>$L52*$B$3</f>
        <v>3415.3005464480875</v>
      </c>
      <c r="N52" s="29">
        <f>$M52*$B$4/2000</f>
        <v>14959.016393442624</v>
      </c>
      <c r="O52" s="27" t="str">
        <f t="shared" si="11"/>
        <v>Match</v>
      </c>
    </row>
    <row r="53" spans="1:15" x14ac:dyDescent="0.2">
      <c r="A53" s="20" t="s">
        <v>38</v>
      </c>
      <c r="B53" s="75"/>
      <c r="C53" s="76">
        <f t="shared" si="10"/>
        <v>3.8000000000000002E-4</v>
      </c>
      <c r="D53" s="65">
        <f t="shared" si="4"/>
        <v>9.3137254901960782E-6</v>
      </c>
      <c r="E53" s="65">
        <f t="shared" si="5"/>
        <v>4.0794117647058819E-5</v>
      </c>
      <c r="F53" s="105"/>
      <c r="H53" s="3"/>
      <c r="I53" s="35" t="s">
        <v>95</v>
      </c>
      <c r="J53" s="35" t="s">
        <v>89</v>
      </c>
      <c r="K53" s="89">
        <v>12500</v>
      </c>
      <c r="L53" s="36">
        <f>$K53/$K$2</f>
        <v>136.61202185792351</v>
      </c>
      <c r="M53" s="37">
        <f>$L53*$B$3</f>
        <v>3415.3005464480875</v>
      </c>
      <c r="N53" s="37">
        <f>$M53*$B$4/2000</f>
        <v>14959.016393442624</v>
      </c>
      <c r="O53" s="27" t="str">
        <f t="shared" si="11"/>
        <v>Match</v>
      </c>
    </row>
    <row r="54" spans="1:15" x14ac:dyDescent="0.2">
      <c r="A54" s="19" t="s">
        <v>39</v>
      </c>
      <c r="B54" s="77"/>
      <c r="C54" s="78">
        <f t="shared" si="10"/>
        <v>2.5999999999999998E-4</v>
      </c>
      <c r="D54" s="66">
        <f t="shared" si="4"/>
        <v>6.3725490196078431E-6</v>
      </c>
      <c r="E54" s="66">
        <f t="shared" si="5"/>
        <v>2.7911764705882355E-5</v>
      </c>
      <c r="F54" s="105"/>
      <c r="H54" s="3"/>
      <c r="I54" s="35"/>
      <c r="J54" s="35"/>
      <c r="K54" s="3"/>
      <c r="L54" s="36"/>
      <c r="M54" s="37"/>
      <c r="N54" s="37"/>
      <c r="O54" s="3"/>
    </row>
    <row r="55" spans="1:15" ht="13.5" thickBot="1" x14ac:dyDescent="0.25">
      <c r="A55" s="20" t="s">
        <v>40</v>
      </c>
      <c r="B55" s="75"/>
      <c r="C55" s="76">
        <f t="shared" si="10"/>
        <v>2.0999999999999999E-3</v>
      </c>
      <c r="D55" s="65">
        <f t="shared" si="4"/>
        <v>5.1470588235294113E-5</v>
      </c>
      <c r="E55" s="65">
        <f t="shared" si="5"/>
        <v>2.2544117647058822E-4</v>
      </c>
      <c r="F55" s="105"/>
      <c r="H55" s="33" t="s">
        <v>74</v>
      </c>
      <c r="I55" s="33" t="s">
        <v>58</v>
      </c>
      <c r="J55" s="33" t="s">
        <v>94</v>
      </c>
      <c r="K55" s="33" t="s">
        <v>90</v>
      </c>
      <c r="L55" s="33" t="s">
        <v>67</v>
      </c>
      <c r="M55" s="33" t="s">
        <v>68</v>
      </c>
      <c r="N55" s="33" t="s">
        <v>69</v>
      </c>
      <c r="O55" s="33"/>
    </row>
    <row r="56" spans="1:15" ht="13.5" thickBot="1" x14ac:dyDescent="0.25">
      <c r="A56" s="67" t="s">
        <v>41</v>
      </c>
      <c r="B56" s="79"/>
      <c r="C56" s="80">
        <f t="shared" si="10"/>
        <v>2.4000000000000001E-5</v>
      </c>
      <c r="D56" s="68">
        <f t="shared" si="4"/>
        <v>5.8823529411764711E-7</v>
      </c>
      <c r="E56" s="68">
        <f t="shared" si="5"/>
        <v>2.5764705882352942E-6</v>
      </c>
      <c r="F56" s="106"/>
      <c r="H56" s="27"/>
      <c r="I56" s="26" t="s">
        <v>61</v>
      </c>
      <c r="J56" s="26" t="s">
        <v>93</v>
      </c>
      <c r="K56" s="87">
        <v>0.2</v>
      </c>
      <c r="L56" s="28">
        <f>$K56/$K$1</f>
        <v>1.9607843137254902E-3</v>
      </c>
      <c r="M56" s="29">
        <f>$L56*$B$3</f>
        <v>4.9019607843137254E-2</v>
      </c>
      <c r="N56" s="29">
        <f>$M56*$B$4/2000</f>
        <v>0.21470588235294116</v>
      </c>
      <c r="O56" s="27" t="str">
        <f>IF($E$19=N56,"Match","")</f>
        <v/>
      </c>
    </row>
    <row r="57" spans="1:15" x14ac:dyDescent="0.2">
      <c r="H57" s="27"/>
      <c r="I57" s="26" t="s">
        <v>61</v>
      </c>
      <c r="J57" s="26" t="s">
        <v>89</v>
      </c>
      <c r="K57" s="87">
        <v>0.2</v>
      </c>
      <c r="L57" s="28">
        <f>$K57/$K$1</f>
        <v>1.9607843137254902E-3</v>
      </c>
      <c r="M57" s="29">
        <f>$L57*$B$3</f>
        <v>4.9019607843137254E-2</v>
      </c>
      <c r="N57" s="29">
        <f>$M57*$B$4/2000</f>
        <v>0.21470588235294116</v>
      </c>
      <c r="O57" s="27" t="str">
        <f t="shared" ref="O57:O59" si="12">IF($E$19=N57,"Match","")</f>
        <v/>
      </c>
    </row>
    <row r="58" spans="1:15" x14ac:dyDescent="0.2">
      <c r="H58" s="27"/>
      <c r="I58" s="26" t="s">
        <v>95</v>
      </c>
      <c r="J58" s="26" t="s">
        <v>93</v>
      </c>
      <c r="K58" s="87">
        <v>0.2</v>
      </c>
      <c r="L58" s="28">
        <f>$K58/$K$2</f>
        <v>2.185792349726776E-3</v>
      </c>
      <c r="M58" s="29">
        <f>$L58*$B$3</f>
        <v>5.4644808743169397E-2</v>
      </c>
      <c r="N58" s="29">
        <f>$M58*$B$4/2000</f>
        <v>0.23934426229508196</v>
      </c>
      <c r="O58" s="27" t="str">
        <f t="shared" si="12"/>
        <v>Match</v>
      </c>
    </row>
    <row r="59" spans="1:15" x14ac:dyDescent="0.2">
      <c r="H59" s="3"/>
      <c r="I59" s="35" t="s">
        <v>95</v>
      </c>
      <c r="J59" s="35" t="s">
        <v>89</v>
      </c>
      <c r="K59" s="88">
        <v>0.2</v>
      </c>
      <c r="L59" s="36">
        <f>$K59/$K$2</f>
        <v>2.185792349726776E-3</v>
      </c>
      <c r="M59" s="37">
        <f>$L59*$B$3</f>
        <v>5.4644808743169397E-2</v>
      </c>
      <c r="N59" s="37">
        <f>$M59*$B$4/2000</f>
        <v>0.23934426229508196</v>
      </c>
      <c r="O59" s="27" t="str">
        <f t="shared" si="12"/>
        <v>Match</v>
      </c>
    </row>
    <row r="60" spans="1:15" x14ac:dyDescent="0.2">
      <c r="H60" s="3"/>
      <c r="I60" s="35"/>
      <c r="J60" s="35"/>
      <c r="K60" s="3"/>
      <c r="L60" s="36"/>
      <c r="M60" s="37"/>
      <c r="N60" s="37"/>
      <c r="O60" s="3"/>
    </row>
    <row r="61" spans="1:15" ht="13.5" thickBot="1" x14ac:dyDescent="0.25">
      <c r="H61" s="33" t="s">
        <v>72</v>
      </c>
      <c r="I61" s="33" t="s">
        <v>58</v>
      </c>
      <c r="J61" s="33" t="s">
        <v>94</v>
      </c>
      <c r="K61" s="33" t="s">
        <v>90</v>
      </c>
      <c r="L61" s="33" t="s">
        <v>67</v>
      </c>
      <c r="M61" s="33" t="s">
        <v>68</v>
      </c>
      <c r="N61" s="33" t="s">
        <v>69</v>
      </c>
      <c r="O61" s="33"/>
    </row>
    <row r="62" spans="1:15" x14ac:dyDescent="0.2">
      <c r="H62" s="27"/>
      <c r="I62" s="26" t="s">
        <v>61</v>
      </c>
      <c r="J62" s="26" t="s">
        <v>93</v>
      </c>
      <c r="K62" s="87">
        <v>0.9</v>
      </c>
      <c r="L62" s="28">
        <f>$K62/$K$1</f>
        <v>8.8235294117647058E-3</v>
      </c>
      <c r="M62" s="29">
        <f>$L62*$B$3</f>
        <v>0.22058823529411764</v>
      </c>
      <c r="N62" s="29">
        <f>$M62*$B$4/2000</f>
        <v>0.96617647058823519</v>
      </c>
      <c r="O62" s="27" t="str">
        <f>IF($E$20=N62,"Match","")</f>
        <v/>
      </c>
    </row>
    <row r="63" spans="1:15" x14ac:dyDescent="0.2">
      <c r="H63" s="27"/>
      <c r="I63" s="26" t="s">
        <v>61</v>
      </c>
      <c r="J63" s="26" t="s">
        <v>89</v>
      </c>
      <c r="K63" s="87">
        <v>0.9</v>
      </c>
      <c r="L63" s="28">
        <f>$K63/$K$1</f>
        <v>8.8235294117647058E-3</v>
      </c>
      <c r="M63" s="29">
        <f>$L63*$B$3</f>
        <v>0.22058823529411764</v>
      </c>
      <c r="N63" s="29">
        <f>$M63*$B$4/2000</f>
        <v>0.96617647058823519</v>
      </c>
      <c r="O63" s="27" t="str">
        <f t="shared" ref="O63:O65" si="13">IF($E$20=N63,"Match","")</f>
        <v/>
      </c>
    </row>
    <row r="64" spans="1:15" x14ac:dyDescent="0.2">
      <c r="H64" s="27"/>
      <c r="I64" s="26" t="s">
        <v>95</v>
      </c>
      <c r="J64" s="26" t="s">
        <v>93</v>
      </c>
      <c r="K64" s="87">
        <v>0.9</v>
      </c>
      <c r="L64" s="28">
        <f>$K64/$K$2</f>
        <v>9.8360655737704927E-3</v>
      </c>
      <c r="M64" s="29">
        <f>$L64*$B$3</f>
        <v>0.24590163934426232</v>
      </c>
      <c r="N64" s="29">
        <f>$M64*$B$4/2000</f>
        <v>1.077049180327869</v>
      </c>
      <c r="O64" s="27" t="str">
        <f t="shared" si="13"/>
        <v>Match</v>
      </c>
    </row>
    <row r="65" spans="8:22" x14ac:dyDescent="0.2">
      <c r="H65" s="3"/>
      <c r="I65" s="35" t="s">
        <v>95</v>
      </c>
      <c r="J65" s="35" t="s">
        <v>89</v>
      </c>
      <c r="K65" s="88">
        <v>0.9</v>
      </c>
      <c r="L65" s="36">
        <f>$K65/$K$2</f>
        <v>9.8360655737704927E-3</v>
      </c>
      <c r="M65" s="37">
        <f>$L65*$B$3</f>
        <v>0.24590163934426232</v>
      </c>
      <c r="N65" s="37">
        <f>$M65*$B$4/2000</f>
        <v>1.077049180327869</v>
      </c>
      <c r="O65" s="27" t="str">
        <f t="shared" si="13"/>
        <v>Match</v>
      </c>
    </row>
    <row r="66" spans="8:22" x14ac:dyDescent="0.2">
      <c r="H66" s="3"/>
      <c r="I66" s="35"/>
      <c r="J66" s="35"/>
      <c r="K66" s="3"/>
      <c r="L66" s="36"/>
      <c r="M66" s="37"/>
      <c r="N66" s="37"/>
      <c r="O66" s="3"/>
    </row>
    <row r="67" spans="8:22" x14ac:dyDescent="0.2">
      <c r="H67" s="3"/>
      <c r="I67" s="35"/>
      <c r="J67" s="35"/>
      <c r="K67" s="103" t="s">
        <v>61</v>
      </c>
      <c r="L67" s="107"/>
      <c r="M67" s="107"/>
      <c r="N67" s="107"/>
      <c r="O67" s="107"/>
      <c r="P67" s="104"/>
      <c r="Q67" s="103" t="s">
        <v>95</v>
      </c>
      <c r="R67" s="107"/>
      <c r="S67" s="107"/>
      <c r="T67" s="107"/>
      <c r="U67" s="107"/>
      <c r="V67" s="104"/>
    </row>
    <row r="68" spans="8:22" x14ac:dyDescent="0.2">
      <c r="H68" s="3"/>
      <c r="I68" s="35"/>
      <c r="J68" s="35"/>
      <c r="K68" s="103" t="s">
        <v>93</v>
      </c>
      <c r="L68" s="107"/>
      <c r="M68" s="104"/>
      <c r="N68" s="103" t="s">
        <v>89</v>
      </c>
      <c r="O68" s="107"/>
      <c r="P68" s="104"/>
      <c r="Q68" s="103" t="s">
        <v>93</v>
      </c>
      <c r="R68" s="107"/>
      <c r="S68" s="104"/>
      <c r="T68" s="103" t="s">
        <v>89</v>
      </c>
      <c r="U68" s="107"/>
      <c r="V68" s="104"/>
    </row>
    <row r="69" spans="8:22" ht="13.5" thickBot="1" x14ac:dyDescent="0.25">
      <c r="H69" s="40"/>
      <c r="I69" s="7"/>
      <c r="J69" s="33" t="s">
        <v>46</v>
      </c>
      <c r="K69" s="41" t="s">
        <v>68</v>
      </c>
      <c r="L69" s="33" t="s">
        <v>69</v>
      </c>
      <c r="M69" s="39"/>
      <c r="N69" s="41" t="s">
        <v>68</v>
      </c>
      <c r="O69" s="33" t="s">
        <v>69</v>
      </c>
      <c r="P69" s="39"/>
      <c r="Q69" s="41" t="s">
        <v>68</v>
      </c>
      <c r="R69" s="33" t="s">
        <v>69</v>
      </c>
      <c r="S69" s="39"/>
      <c r="T69" s="41" t="s">
        <v>68</v>
      </c>
      <c r="U69" s="33" t="s">
        <v>69</v>
      </c>
      <c r="V69" s="39"/>
    </row>
    <row r="70" spans="8:22" x14ac:dyDescent="0.2">
      <c r="H70" s="23" t="s">
        <v>71</v>
      </c>
      <c r="J70" s="81">
        <v>1</v>
      </c>
      <c r="K70" s="42">
        <f>$J70*$M50</f>
        <v>3504.9019607843134</v>
      </c>
      <c r="L70" s="43">
        <f>K70*$B$4/2000</f>
        <v>15351.470588235292</v>
      </c>
      <c r="M70" s="38"/>
      <c r="N70" s="42">
        <f>$J70*$M51</f>
        <v>3504.9019607843134</v>
      </c>
      <c r="O70" s="43">
        <f t="shared" ref="O70:O72" si="14">N70*$B$4/2000</f>
        <v>15351.470588235292</v>
      </c>
      <c r="P70" s="38"/>
      <c r="Q70" s="42">
        <f>$J70*$M52</f>
        <v>3415.3005464480875</v>
      </c>
      <c r="R70" s="43">
        <f t="shared" ref="R70:R72" si="15">Q70*$B$4/2000</f>
        <v>14959.016393442624</v>
      </c>
      <c r="S70" s="38"/>
      <c r="T70" s="42">
        <f>$J70*$M53</f>
        <v>3415.3005464480875</v>
      </c>
      <c r="U70" s="43">
        <f t="shared" ref="U70:U72" si="16">T70*$B$4/2000</f>
        <v>14959.016393442624</v>
      </c>
      <c r="V70" s="38"/>
    </row>
    <row r="71" spans="8:22" x14ac:dyDescent="0.2">
      <c r="H71" s="23" t="s">
        <v>74</v>
      </c>
      <c r="J71" s="81">
        <v>25</v>
      </c>
      <c r="K71" s="42">
        <f>$J71*$M56</f>
        <v>1.2254901960784315</v>
      </c>
      <c r="L71" s="43">
        <f t="shared" ref="L71:L72" si="17">K71*$B$4/2000</f>
        <v>5.3676470588235299</v>
      </c>
      <c r="M71" s="38"/>
      <c r="N71" s="42">
        <f>$J71*$M57</f>
        <v>1.2254901960784315</v>
      </c>
      <c r="O71" s="43">
        <f t="shared" si="14"/>
        <v>5.3676470588235299</v>
      </c>
      <c r="P71" s="38"/>
      <c r="Q71" s="42">
        <f>$J71*$M58</f>
        <v>1.3661202185792349</v>
      </c>
      <c r="R71" s="43">
        <f t="shared" si="15"/>
        <v>5.9836065573770494</v>
      </c>
      <c r="S71" s="38"/>
      <c r="T71" s="42">
        <f>$J71*$M59</f>
        <v>1.3661202185792349</v>
      </c>
      <c r="U71" s="43">
        <f t="shared" si="16"/>
        <v>5.9836065573770494</v>
      </c>
      <c r="V71" s="38"/>
    </row>
    <row r="72" spans="8:22" x14ac:dyDescent="0.2">
      <c r="H72" s="23" t="s">
        <v>72</v>
      </c>
      <c r="J72" s="81">
        <v>298</v>
      </c>
      <c r="K72" s="42">
        <f>$J72*$M62</f>
        <v>65.735294117647058</v>
      </c>
      <c r="L72" s="43">
        <f t="shared" si="17"/>
        <v>287.92058823529408</v>
      </c>
      <c r="M72" s="38"/>
      <c r="N72" s="42">
        <f>$J72*$M63</f>
        <v>65.735294117647058</v>
      </c>
      <c r="O72" s="43">
        <f t="shared" si="14"/>
        <v>287.92058823529408</v>
      </c>
      <c r="P72" s="38"/>
      <c r="Q72" s="42">
        <f>$J72*$M64</f>
        <v>73.278688524590166</v>
      </c>
      <c r="R72" s="43">
        <f t="shared" si="15"/>
        <v>320.96065573770494</v>
      </c>
      <c r="S72" s="38"/>
      <c r="T72" s="42">
        <f>$J72*$M65</f>
        <v>73.278688524590166</v>
      </c>
      <c r="U72" s="43">
        <f t="shared" si="16"/>
        <v>320.96065573770494</v>
      </c>
      <c r="V72" s="38"/>
    </row>
    <row r="73" spans="8:22" x14ac:dyDescent="0.2">
      <c r="H73" s="31" t="s">
        <v>75</v>
      </c>
      <c r="I73" s="31"/>
      <c r="J73" s="31" t="s">
        <v>76</v>
      </c>
      <c r="K73" s="44">
        <f>SUM(K70:K72)</f>
        <v>3571.8627450980384</v>
      </c>
      <c r="L73" s="45">
        <f>SUM(L70:L72)</f>
        <v>15644.75882352941</v>
      </c>
      <c r="M73" s="46" t="str">
        <f>IF($E$21=L73,"Match","")</f>
        <v/>
      </c>
      <c r="N73" s="44">
        <f>SUM(N70:N72)</f>
        <v>3571.8627450980384</v>
      </c>
      <c r="O73" s="45">
        <f>SUM(O70:O72)</f>
        <v>15644.75882352941</v>
      </c>
      <c r="P73" s="46" t="str">
        <f>IF($E$21=O73,"Match","")</f>
        <v/>
      </c>
      <c r="Q73" s="44">
        <f>SUM(Q70:Q72)</f>
        <v>3489.945355191257</v>
      </c>
      <c r="R73" s="45">
        <f>SUM(R70:R72)</f>
        <v>15285.960655737705</v>
      </c>
      <c r="S73" s="46" t="str">
        <f>IF($E$21=R73,"Match","")</f>
        <v>Match</v>
      </c>
      <c r="T73" s="44">
        <f>SUM(T70:T72)</f>
        <v>3489.945355191257</v>
      </c>
      <c r="U73" s="45">
        <f>SUM(U70:U72)</f>
        <v>15285.960655737705</v>
      </c>
      <c r="V73" s="46" t="str">
        <f>IF($E$21=U73,"Match","")</f>
        <v>Match</v>
      </c>
    </row>
    <row r="74" spans="8:22" ht="12" customHeight="1" x14ac:dyDescent="0.2"/>
    <row r="75" spans="8:22" ht="13.5" thickBot="1" x14ac:dyDescent="0.25">
      <c r="H75" s="33" t="s">
        <v>78</v>
      </c>
      <c r="I75" s="33"/>
      <c r="J75" s="33" t="s">
        <v>77</v>
      </c>
      <c r="K75" s="34" t="s">
        <v>66</v>
      </c>
      <c r="L75" s="34" t="s">
        <v>67</v>
      </c>
      <c r="M75" s="34" t="s">
        <v>68</v>
      </c>
      <c r="N75" s="34" t="s">
        <v>69</v>
      </c>
      <c r="O75" s="33" t="s">
        <v>82</v>
      </c>
      <c r="Q75" s="23" t="s">
        <v>103</v>
      </c>
    </row>
    <row r="76" spans="8:22" x14ac:dyDescent="0.2">
      <c r="I76" s="23"/>
      <c r="J76" s="1" t="s">
        <v>9</v>
      </c>
      <c r="K76" s="82">
        <v>2.4000000000000001E-5</v>
      </c>
      <c r="L76" s="30">
        <f>$K76/$Q$76</f>
        <v>2.3529411764705881E-8</v>
      </c>
      <c r="M76" s="30">
        <f>$L76*$B$3</f>
        <v>5.8823529411764701E-7</v>
      </c>
      <c r="N76" s="30">
        <f>$M76*$B$4/2000</f>
        <v>2.5764705882352937E-6</v>
      </c>
      <c r="O76" s="27" t="str">
        <f>IF(E24=N76,"Match","")</f>
        <v>Match</v>
      </c>
      <c r="Q76" s="24">
        <v>1020</v>
      </c>
      <c r="R76" s="23" t="s">
        <v>70</v>
      </c>
    </row>
    <row r="77" spans="8:22" x14ac:dyDescent="0.2">
      <c r="J77" s="1" t="s">
        <v>10</v>
      </c>
      <c r="K77" s="82">
        <v>1.7999999999999999E-6</v>
      </c>
      <c r="L77" s="30">
        <f t="shared" ref="L77:L99" si="18">$K77/$Q$76</f>
        <v>1.7647058823529412E-9</v>
      </c>
      <c r="M77" s="30">
        <f t="shared" ref="M77:M99" si="19">$L77*$B$3</f>
        <v>4.4117647058823528E-8</v>
      </c>
      <c r="N77" s="30">
        <f t="shared" ref="N77:N99" si="20">$M77*$B$4/2000</f>
        <v>1.9323529411764706E-7</v>
      </c>
      <c r="O77" s="27" t="str">
        <f t="shared" ref="O77:O99" si="21">IF(E25=N77,"Match","")</f>
        <v>Match</v>
      </c>
    </row>
    <row r="78" spans="8:22" x14ac:dyDescent="0.2">
      <c r="J78" s="1" t="s">
        <v>11</v>
      </c>
      <c r="K78" s="82">
        <v>1.5999999999999999E-5</v>
      </c>
      <c r="L78" s="30">
        <f t="shared" si="18"/>
        <v>1.5686274509803922E-8</v>
      </c>
      <c r="M78" s="30">
        <f t="shared" si="19"/>
        <v>3.9215686274509808E-7</v>
      </c>
      <c r="N78" s="30">
        <f t="shared" si="20"/>
        <v>1.7176470588235296E-6</v>
      </c>
      <c r="O78" s="27" t="str">
        <f t="shared" si="21"/>
        <v>Match</v>
      </c>
    </row>
    <row r="79" spans="8:22" x14ac:dyDescent="0.2">
      <c r="J79" s="1" t="s">
        <v>12</v>
      </c>
      <c r="K79" s="82">
        <v>1.7999999999999999E-6</v>
      </c>
      <c r="L79" s="30">
        <f t="shared" si="18"/>
        <v>1.7647058823529412E-9</v>
      </c>
      <c r="M79" s="30">
        <f t="shared" si="19"/>
        <v>4.4117647058823528E-8</v>
      </c>
      <c r="N79" s="30">
        <f t="shared" si="20"/>
        <v>1.9323529411764706E-7</v>
      </c>
      <c r="O79" s="27" t="str">
        <f t="shared" si="21"/>
        <v>Match</v>
      </c>
    </row>
    <row r="80" spans="8:22" x14ac:dyDescent="0.2">
      <c r="J80" s="1" t="s">
        <v>13</v>
      </c>
      <c r="K80" s="82">
        <v>1.7999999999999999E-6</v>
      </c>
      <c r="L80" s="30">
        <f t="shared" si="18"/>
        <v>1.7647058823529412E-9</v>
      </c>
      <c r="M80" s="30">
        <f t="shared" si="19"/>
        <v>4.4117647058823528E-8</v>
      </c>
      <c r="N80" s="30">
        <f t="shared" si="20"/>
        <v>1.9323529411764706E-7</v>
      </c>
      <c r="O80" s="27" t="str">
        <f t="shared" si="21"/>
        <v>Match</v>
      </c>
    </row>
    <row r="81" spans="10:15" x14ac:dyDescent="0.2">
      <c r="J81" s="1" t="s">
        <v>14</v>
      </c>
      <c r="K81" s="82">
        <v>2.3999999999999999E-6</v>
      </c>
      <c r="L81" s="30">
        <f t="shared" si="18"/>
        <v>2.3529411764705881E-9</v>
      </c>
      <c r="M81" s="30">
        <f t="shared" si="19"/>
        <v>5.8823529411764702E-8</v>
      </c>
      <c r="N81" s="30">
        <f t="shared" si="20"/>
        <v>2.5764705882352937E-7</v>
      </c>
      <c r="O81" s="27" t="str">
        <f t="shared" si="21"/>
        <v>Match</v>
      </c>
    </row>
    <row r="82" spans="10:15" x14ac:dyDescent="0.2">
      <c r="J82" s="1" t="s">
        <v>15</v>
      </c>
      <c r="K82" s="82">
        <v>1.7999999999999999E-6</v>
      </c>
      <c r="L82" s="30">
        <f t="shared" si="18"/>
        <v>1.7647058823529412E-9</v>
      </c>
      <c r="M82" s="30">
        <f t="shared" si="19"/>
        <v>4.4117647058823528E-8</v>
      </c>
      <c r="N82" s="30">
        <f t="shared" si="20"/>
        <v>1.9323529411764706E-7</v>
      </c>
      <c r="O82" s="27" t="str">
        <f t="shared" si="21"/>
        <v>Match</v>
      </c>
    </row>
    <row r="83" spans="10:15" x14ac:dyDescent="0.2">
      <c r="J83" s="1" t="s">
        <v>16</v>
      </c>
      <c r="K83" s="82">
        <v>2.0999999999999999E-3</v>
      </c>
      <c r="L83" s="30">
        <f t="shared" si="18"/>
        <v>2.0588235294117645E-6</v>
      </c>
      <c r="M83" s="30">
        <f t="shared" si="19"/>
        <v>5.1470588235294113E-5</v>
      </c>
      <c r="N83" s="30">
        <f t="shared" si="20"/>
        <v>2.2544117647058822E-4</v>
      </c>
      <c r="O83" s="27" t="str">
        <f t="shared" si="21"/>
        <v>Match</v>
      </c>
    </row>
    <row r="84" spans="10:15" x14ac:dyDescent="0.2">
      <c r="J84" s="1" t="s">
        <v>17</v>
      </c>
      <c r="K84" s="82">
        <v>1.1999999999999999E-6</v>
      </c>
      <c r="L84" s="30">
        <f t="shared" si="18"/>
        <v>1.176470588235294E-9</v>
      </c>
      <c r="M84" s="30">
        <f t="shared" si="19"/>
        <v>2.9411764705882351E-8</v>
      </c>
      <c r="N84" s="30">
        <f t="shared" si="20"/>
        <v>1.2882352941176469E-7</v>
      </c>
      <c r="O84" s="27" t="str">
        <f t="shared" si="21"/>
        <v>Match</v>
      </c>
    </row>
    <row r="85" spans="10:15" x14ac:dyDescent="0.2">
      <c r="J85" s="1" t="s">
        <v>18</v>
      </c>
      <c r="K85" s="82">
        <v>1.7999999999999999E-6</v>
      </c>
      <c r="L85" s="30">
        <f t="shared" si="18"/>
        <v>1.7647058823529412E-9</v>
      </c>
      <c r="M85" s="30">
        <f t="shared" si="19"/>
        <v>4.4117647058823528E-8</v>
      </c>
      <c r="N85" s="30">
        <f t="shared" si="20"/>
        <v>1.9323529411764706E-7</v>
      </c>
      <c r="O85" s="27" t="str">
        <f t="shared" si="21"/>
        <v>Match</v>
      </c>
    </row>
    <row r="86" spans="10:15" x14ac:dyDescent="0.2">
      <c r="J86" s="1" t="s">
        <v>19</v>
      </c>
      <c r="K86" s="82">
        <v>1.1999999999999999E-6</v>
      </c>
      <c r="L86" s="30">
        <f t="shared" si="18"/>
        <v>1.176470588235294E-9</v>
      </c>
      <c r="M86" s="30">
        <f t="shared" si="19"/>
        <v>2.9411764705882351E-8</v>
      </c>
      <c r="N86" s="30">
        <f t="shared" si="20"/>
        <v>1.2882352941176469E-7</v>
      </c>
      <c r="O86" s="27" t="str">
        <f t="shared" si="21"/>
        <v>Match</v>
      </c>
    </row>
    <row r="87" spans="10:15" x14ac:dyDescent="0.2">
      <c r="J87" s="1" t="s">
        <v>20</v>
      </c>
      <c r="K87" s="82">
        <v>1.7999999999999999E-6</v>
      </c>
      <c r="L87" s="30">
        <f t="shared" si="18"/>
        <v>1.7647058823529412E-9</v>
      </c>
      <c r="M87" s="30">
        <f t="shared" si="19"/>
        <v>4.4117647058823528E-8</v>
      </c>
      <c r="N87" s="30">
        <f t="shared" si="20"/>
        <v>1.9323529411764706E-7</v>
      </c>
      <c r="O87" s="27" t="str">
        <f t="shared" si="21"/>
        <v>Match</v>
      </c>
    </row>
    <row r="88" spans="10:15" x14ac:dyDescent="0.2">
      <c r="J88" s="1" t="s">
        <v>21</v>
      </c>
      <c r="K88" s="82">
        <v>1.7999999999999999E-6</v>
      </c>
      <c r="L88" s="30">
        <f t="shared" si="18"/>
        <v>1.7647058823529412E-9</v>
      </c>
      <c r="M88" s="30">
        <f t="shared" si="19"/>
        <v>4.4117647058823528E-8</v>
      </c>
      <c r="N88" s="30">
        <f t="shared" si="20"/>
        <v>1.9323529411764706E-7</v>
      </c>
      <c r="O88" s="27" t="str">
        <f t="shared" si="21"/>
        <v>Match</v>
      </c>
    </row>
    <row r="89" spans="10:15" x14ac:dyDescent="0.2">
      <c r="J89" s="1" t="s">
        <v>22</v>
      </c>
      <c r="K89" s="82">
        <v>1.1999999999999999E-6</v>
      </c>
      <c r="L89" s="30">
        <f t="shared" si="18"/>
        <v>1.176470588235294E-9</v>
      </c>
      <c r="M89" s="30">
        <f t="shared" si="19"/>
        <v>2.9411764705882351E-8</v>
      </c>
      <c r="N89" s="30">
        <f t="shared" si="20"/>
        <v>1.2882352941176469E-7</v>
      </c>
      <c r="O89" s="27" t="str">
        <f t="shared" si="21"/>
        <v>Match</v>
      </c>
    </row>
    <row r="90" spans="10:15" x14ac:dyDescent="0.2">
      <c r="J90" s="1" t="s">
        <v>23</v>
      </c>
      <c r="K90" s="82">
        <v>1.1999999999999999E-3</v>
      </c>
      <c r="L90" s="30">
        <f t="shared" si="18"/>
        <v>1.176470588235294E-6</v>
      </c>
      <c r="M90" s="30">
        <f t="shared" si="19"/>
        <v>2.941176470588235E-5</v>
      </c>
      <c r="N90" s="30">
        <f t="shared" si="20"/>
        <v>1.2882352941176469E-4</v>
      </c>
      <c r="O90" s="27" t="str">
        <f t="shared" si="21"/>
        <v>Match</v>
      </c>
    </row>
    <row r="91" spans="10:15" x14ac:dyDescent="0.2">
      <c r="J91" s="1" t="s">
        <v>24</v>
      </c>
      <c r="K91" s="82">
        <v>3.0000000000000001E-6</v>
      </c>
      <c r="L91" s="30">
        <f t="shared" si="18"/>
        <v>2.9411764705882352E-9</v>
      </c>
      <c r="M91" s="30">
        <f t="shared" si="19"/>
        <v>7.3529411764705876E-8</v>
      </c>
      <c r="N91" s="30">
        <f t="shared" si="20"/>
        <v>3.2205882352941172E-7</v>
      </c>
      <c r="O91" s="27" t="str">
        <f t="shared" si="21"/>
        <v>Match</v>
      </c>
    </row>
    <row r="92" spans="10:15" x14ac:dyDescent="0.2">
      <c r="J92" s="1" t="s">
        <v>25</v>
      </c>
      <c r="K92" s="82">
        <v>2.7999999999999999E-6</v>
      </c>
      <c r="L92" s="30">
        <f t="shared" si="18"/>
        <v>2.7450980392156863E-9</v>
      </c>
      <c r="M92" s="30">
        <f t="shared" si="19"/>
        <v>6.8627450980392158E-8</v>
      </c>
      <c r="N92" s="30">
        <f t="shared" si="20"/>
        <v>3.0058823529411766E-7</v>
      </c>
      <c r="O92" s="27" t="str">
        <f t="shared" si="21"/>
        <v>Match</v>
      </c>
    </row>
    <row r="93" spans="10:15" x14ac:dyDescent="0.2">
      <c r="J93" s="1" t="s">
        <v>26</v>
      </c>
      <c r="K93" s="82">
        <v>7.4999999999999997E-2</v>
      </c>
      <c r="L93" s="30">
        <f t="shared" si="18"/>
        <v>7.3529411764705876E-5</v>
      </c>
      <c r="M93" s="30">
        <f t="shared" si="19"/>
        <v>1.8382352941176468E-3</v>
      </c>
      <c r="N93" s="30">
        <f t="shared" si="20"/>
        <v>8.0514705882352936E-3</v>
      </c>
      <c r="O93" s="27" t="str">
        <f t="shared" si="21"/>
        <v>Match</v>
      </c>
    </row>
    <row r="94" spans="10:15" x14ac:dyDescent="0.2">
      <c r="J94" s="1" t="s">
        <v>27</v>
      </c>
      <c r="K94" s="82">
        <v>1.8</v>
      </c>
      <c r="L94" s="30">
        <f t="shared" si="18"/>
        <v>1.7647058823529412E-3</v>
      </c>
      <c r="M94" s="30">
        <f t="shared" si="19"/>
        <v>4.4117647058823532E-2</v>
      </c>
      <c r="N94" s="30">
        <f t="shared" si="20"/>
        <v>0.19323529411764706</v>
      </c>
      <c r="O94" s="27" t="str">
        <f t="shared" si="21"/>
        <v>Match</v>
      </c>
    </row>
    <row r="95" spans="10:15" x14ac:dyDescent="0.2">
      <c r="J95" s="1" t="s">
        <v>28</v>
      </c>
      <c r="K95" s="82">
        <v>1.7999999999999999E-6</v>
      </c>
      <c r="L95" s="30">
        <f t="shared" si="18"/>
        <v>1.7647058823529412E-9</v>
      </c>
      <c r="M95" s="30">
        <f t="shared" si="19"/>
        <v>4.4117647058823528E-8</v>
      </c>
      <c r="N95" s="30">
        <f t="shared" si="20"/>
        <v>1.9323529411764706E-7</v>
      </c>
      <c r="O95" s="27" t="str">
        <f t="shared" si="21"/>
        <v>Match</v>
      </c>
    </row>
    <row r="96" spans="10:15" x14ac:dyDescent="0.2">
      <c r="J96" s="1" t="s">
        <v>29</v>
      </c>
      <c r="K96" s="82">
        <v>6.0999999999999997E-4</v>
      </c>
      <c r="L96" s="30">
        <f t="shared" si="18"/>
        <v>5.9803921568627444E-7</v>
      </c>
      <c r="M96" s="30">
        <f t="shared" si="19"/>
        <v>1.4950980392156861E-5</v>
      </c>
      <c r="N96" s="30">
        <f t="shared" si="20"/>
        <v>6.548529411764704E-5</v>
      </c>
      <c r="O96" s="27" t="str">
        <f t="shared" si="21"/>
        <v/>
      </c>
    </row>
    <row r="97" spans="8:15" x14ac:dyDescent="0.2">
      <c r="J97" s="1" t="s">
        <v>30</v>
      </c>
      <c r="K97" s="82">
        <v>1.7E-5</v>
      </c>
      <c r="L97" s="30">
        <f t="shared" si="18"/>
        <v>1.6666666666666667E-8</v>
      </c>
      <c r="M97" s="30">
        <f t="shared" si="19"/>
        <v>4.1666666666666667E-7</v>
      </c>
      <c r="N97" s="30">
        <f t="shared" si="20"/>
        <v>1.8250000000000001E-6</v>
      </c>
      <c r="O97" s="27" t="str">
        <f t="shared" si="21"/>
        <v>Match</v>
      </c>
    </row>
    <row r="98" spans="8:15" x14ac:dyDescent="0.2">
      <c r="J98" s="1" t="s">
        <v>31</v>
      </c>
      <c r="K98" s="82">
        <v>5.0000000000000004E-6</v>
      </c>
      <c r="L98" s="30">
        <f t="shared" si="18"/>
        <v>4.9019607843137263E-9</v>
      </c>
      <c r="M98" s="30">
        <f t="shared" si="19"/>
        <v>1.2254901960784316E-7</v>
      </c>
      <c r="N98" s="30">
        <f t="shared" si="20"/>
        <v>5.3676470588235302E-7</v>
      </c>
      <c r="O98" s="27" t="str">
        <f t="shared" si="21"/>
        <v>Match</v>
      </c>
    </row>
    <row r="99" spans="8:15" x14ac:dyDescent="0.2">
      <c r="J99" s="1" t="s">
        <v>32</v>
      </c>
      <c r="K99" s="82">
        <v>3.3999999999999998E-3</v>
      </c>
      <c r="L99" s="30">
        <f t="shared" si="18"/>
        <v>3.3333333333333333E-6</v>
      </c>
      <c r="M99" s="30">
        <f t="shared" si="19"/>
        <v>8.3333333333333331E-5</v>
      </c>
      <c r="N99" s="30">
        <f t="shared" si="20"/>
        <v>3.6499999999999998E-4</v>
      </c>
      <c r="O99" s="27" t="str">
        <f t="shared" si="21"/>
        <v>Match</v>
      </c>
    </row>
    <row r="101" spans="8:15" ht="13.5" thickBot="1" x14ac:dyDescent="0.25">
      <c r="H101" s="33" t="s">
        <v>79</v>
      </c>
      <c r="I101" s="33"/>
      <c r="J101" s="33" t="s">
        <v>80</v>
      </c>
      <c r="K101" s="34" t="s">
        <v>66</v>
      </c>
      <c r="L101" s="34" t="s">
        <v>67</v>
      </c>
      <c r="M101" s="34" t="s">
        <v>68</v>
      </c>
      <c r="N101" s="34" t="s">
        <v>69</v>
      </c>
      <c r="O101" s="33" t="s">
        <v>82</v>
      </c>
    </row>
    <row r="102" spans="8:15" x14ac:dyDescent="0.2">
      <c r="H102" s="32"/>
      <c r="I102" s="32"/>
      <c r="J102" s="32" t="s">
        <v>33</v>
      </c>
      <c r="K102" s="82">
        <v>2.0000000000000001E-4</v>
      </c>
      <c r="L102" s="30">
        <f t="shared" ref="L102:L110" si="22">$K102/$Q$76</f>
        <v>1.9607843137254904E-7</v>
      </c>
      <c r="M102" s="30">
        <f t="shared" ref="M102:M110" si="23">$L102*$B$3</f>
        <v>4.9019607843137256E-6</v>
      </c>
      <c r="N102" s="30">
        <f t="shared" ref="N102:N110" si="24">$M102*$B$4/2000</f>
        <v>2.1470588235294119E-5</v>
      </c>
      <c r="O102" s="27" t="str">
        <f>IF(E48=N102,"Match","")</f>
        <v>Match</v>
      </c>
    </row>
    <row r="103" spans="8:15" x14ac:dyDescent="0.2">
      <c r="H103" s="32"/>
      <c r="I103" s="32"/>
      <c r="J103" s="32" t="s">
        <v>34</v>
      </c>
      <c r="K103" s="82">
        <v>1.2E-5</v>
      </c>
      <c r="L103" s="30">
        <f t="shared" si="22"/>
        <v>1.1764705882352941E-8</v>
      </c>
      <c r="M103" s="30">
        <f t="shared" si="23"/>
        <v>2.941176470588235E-7</v>
      </c>
      <c r="N103" s="30">
        <f t="shared" si="24"/>
        <v>1.2882352941176469E-6</v>
      </c>
      <c r="O103" s="27" t="str">
        <f t="shared" ref="O103:O110" si="25">IF(E49=N103,"Match","")</f>
        <v>Match</v>
      </c>
    </row>
    <row r="104" spans="8:15" x14ac:dyDescent="0.2">
      <c r="H104" s="32"/>
      <c r="I104" s="32"/>
      <c r="J104" s="32" t="s">
        <v>35</v>
      </c>
      <c r="K104" s="82">
        <v>1.1000000000000001E-3</v>
      </c>
      <c r="L104" s="30">
        <f t="shared" si="22"/>
        <v>1.0784313725490197E-6</v>
      </c>
      <c r="M104" s="30">
        <f t="shared" si="23"/>
        <v>2.696078431372549E-5</v>
      </c>
      <c r="N104" s="30">
        <f t="shared" si="24"/>
        <v>1.1808823529411764E-4</v>
      </c>
      <c r="O104" s="27" t="str">
        <f t="shared" si="25"/>
        <v>Match</v>
      </c>
    </row>
    <row r="105" spans="8:15" x14ac:dyDescent="0.2">
      <c r="H105" s="32"/>
      <c r="I105" s="32"/>
      <c r="J105" s="32" t="s">
        <v>36</v>
      </c>
      <c r="K105" s="82">
        <v>1.4E-3</v>
      </c>
      <c r="L105" s="30">
        <f t="shared" si="22"/>
        <v>1.3725490196078432E-6</v>
      </c>
      <c r="M105" s="30">
        <f t="shared" si="23"/>
        <v>3.4313725490196078E-5</v>
      </c>
      <c r="N105" s="30">
        <f t="shared" si="24"/>
        <v>1.5029411764705882E-4</v>
      </c>
      <c r="O105" s="27" t="str">
        <f t="shared" si="25"/>
        <v>Match</v>
      </c>
    </row>
    <row r="106" spans="8:15" x14ac:dyDescent="0.2">
      <c r="H106" s="32"/>
      <c r="I106" s="32"/>
      <c r="J106" s="32" t="s">
        <v>37</v>
      </c>
      <c r="K106" s="82">
        <v>8.3999999999999995E-5</v>
      </c>
      <c r="L106" s="30">
        <f t="shared" si="22"/>
        <v>8.2352941176470587E-8</v>
      </c>
      <c r="M106" s="30">
        <f t="shared" si="23"/>
        <v>2.0588235294117645E-6</v>
      </c>
      <c r="N106" s="30">
        <f t="shared" si="24"/>
        <v>9.0176470588235279E-6</v>
      </c>
      <c r="O106" s="27" t="str">
        <f t="shared" si="25"/>
        <v>Match</v>
      </c>
    </row>
    <row r="107" spans="8:15" x14ac:dyDescent="0.2">
      <c r="H107" s="32"/>
      <c r="I107" s="32"/>
      <c r="J107" s="32" t="s">
        <v>38</v>
      </c>
      <c r="K107" s="82">
        <v>3.8000000000000002E-4</v>
      </c>
      <c r="L107" s="30">
        <f t="shared" si="22"/>
        <v>3.7254901960784315E-7</v>
      </c>
      <c r="M107" s="30">
        <f t="shared" si="23"/>
        <v>9.3137254901960782E-6</v>
      </c>
      <c r="N107" s="30">
        <f t="shared" si="24"/>
        <v>4.0794117647058819E-5</v>
      </c>
      <c r="O107" s="27" t="str">
        <f t="shared" si="25"/>
        <v>Match</v>
      </c>
    </row>
    <row r="108" spans="8:15" x14ac:dyDescent="0.2">
      <c r="J108" s="1" t="s">
        <v>39</v>
      </c>
      <c r="K108" s="82">
        <v>2.5999999999999998E-4</v>
      </c>
      <c r="L108" s="30">
        <f t="shared" si="22"/>
        <v>2.5490196078431371E-7</v>
      </c>
      <c r="M108" s="30">
        <f t="shared" si="23"/>
        <v>6.3725490196078423E-6</v>
      </c>
      <c r="N108" s="30">
        <f t="shared" si="24"/>
        <v>2.7911764705882348E-5</v>
      </c>
      <c r="O108" s="27" t="str">
        <f t="shared" si="25"/>
        <v/>
      </c>
    </row>
    <row r="109" spans="8:15" x14ac:dyDescent="0.2">
      <c r="J109" s="1" t="s">
        <v>40</v>
      </c>
      <c r="K109" s="82">
        <v>2.0999999999999999E-3</v>
      </c>
      <c r="L109" s="30">
        <f t="shared" si="22"/>
        <v>2.0588235294117645E-6</v>
      </c>
      <c r="M109" s="30">
        <f t="shared" si="23"/>
        <v>5.1470588235294113E-5</v>
      </c>
      <c r="N109" s="30">
        <f t="shared" si="24"/>
        <v>2.2544117647058822E-4</v>
      </c>
      <c r="O109" s="27" t="str">
        <f t="shared" si="25"/>
        <v>Match</v>
      </c>
    </row>
    <row r="110" spans="8:15" x14ac:dyDescent="0.2">
      <c r="J110" s="1" t="s">
        <v>41</v>
      </c>
      <c r="K110" s="82">
        <v>2.4000000000000001E-5</v>
      </c>
      <c r="L110" s="30">
        <f t="shared" si="22"/>
        <v>2.3529411764705881E-8</v>
      </c>
      <c r="M110" s="30">
        <f t="shared" si="23"/>
        <v>5.8823529411764701E-7</v>
      </c>
      <c r="N110" s="30">
        <f t="shared" si="24"/>
        <v>2.5764705882352937E-6</v>
      </c>
      <c r="O110" s="27" t="str">
        <f t="shared" si="25"/>
        <v>Match</v>
      </c>
    </row>
    <row r="112" spans="8:15" ht="13.5" thickBot="1" x14ac:dyDescent="0.25">
      <c r="H112" s="33" t="s">
        <v>81</v>
      </c>
      <c r="I112" s="33"/>
      <c r="J112" s="33" t="s">
        <v>81</v>
      </c>
      <c r="K112" s="7"/>
      <c r="L112" s="7"/>
      <c r="M112" s="34" t="s">
        <v>68</v>
      </c>
      <c r="N112" s="34" t="s">
        <v>69</v>
      </c>
      <c r="O112" s="33" t="s">
        <v>82</v>
      </c>
    </row>
    <row r="113" spans="8:15" x14ac:dyDescent="0.2">
      <c r="M113" s="25">
        <f>SUM(M102:M110)+SUM(M76:M99)</f>
        <v>4.6273485294117643E-2</v>
      </c>
      <c r="N113" s="25">
        <f>SUM(N102:N110)+SUM(N76:N99)</f>
        <v>0.20267786558823531</v>
      </c>
      <c r="O113" s="27" t="str">
        <f>IF(E15=N113,"Match","")</f>
        <v>Match</v>
      </c>
    </row>
    <row r="115" spans="8:15" ht="13.5" thickBot="1" x14ac:dyDescent="0.25">
      <c r="H115" s="33" t="s">
        <v>87</v>
      </c>
      <c r="I115" s="7"/>
      <c r="J115" s="7"/>
      <c r="K115" s="7"/>
      <c r="L115" s="7"/>
      <c r="M115" s="7"/>
      <c r="N115" s="7"/>
      <c r="O115" s="7"/>
    </row>
    <row r="119" spans="8:15" x14ac:dyDescent="0.2">
      <c r="H119" s="1" t="s">
        <v>83</v>
      </c>
    </row>
    <row r="121" spans="8:15" x14ac:dyDescent="0.2">
      <c r="J121" s="23" t="s">
        <v>84</v>
      </c>
      <c r="K121" s="27">
        <v>46.1</v>
      </c>
      <c r="L121" s="23" t="s">
        <v>86</v>
      </c>
    </row>
    <row r="122" spans="8:15" x14ac:dyDescent="0.2">
      <c r="J122" s="23" t="s">
        <v>85</v>
      </c>
      <c r="K122" s="27">
        <v>28.01</v>
      </c>
      <c r="L122" s="23" t="s">
        <v>86</v>
      </c>
    </row>
    <row r="124" spans="8:15" ht="13.5" thickBot="1" x14ac:dyDescent="0.25">
      <c r="H124" s="33"/>
      <c r="I124" s="33" t="s">
        <v>88</v>
      </c>
      <c r="J124" s="34" t="s">
        <v>67</v>
      </c>
      <c r="K124" s="34" t="s">
        <v>68</v>
      </c>
      <c r="L124" s="34" t="s">
        <v>69</v>
      </c>
      <c r="M124" s="33" t="s">
        <v>82</v>
      </c>
    </row>
    <row r="125" spans="8:15" x14ac:dyDescent="0.2">
      <c r="H125" s="23" t="s">
        <v>64</v>
      </c>
      <c r="I125" s="1">
        <f>B9</f>
        <v>0</v>
      </c>
      <c r="J125" s="1">
        <f>($I125/1000000)*(20.9/(20.9-3))*8710*$K121/385.44</f>
        <v>0</v>
      </c>
      <c r="K125" s="29">
        <f>$J125*$B$3</f>
        <v>0</v>
      </c>
      <c r="L125" s="29">
        <f>$K125*$B$4/2000</f>
        <v>0</v>
      </c>
      <c r="M125" s="27" t="str">
        <f>IF(E9=L125,"Match","")</f>
        <v/>
      </c>
    </row>
    <row r="126" spans="8:15" x14ac:dyDescent="0.2">
      <c r="H126" s="23" t="s">
        <v>4</v>
      </c>
      <c r="I126" s="1">
        <f>B10</f>
        <v>0</v>
      </c>
      <c r="J126" s="1">
        <f>($I126/1000000)*(20.9/(20.9-3))*8710*$K122/385.44</f>
        <v>0</v>
      </c>
      <c r="K126" s="29">
        <f>$J126*$B$3</f>
        <v>0</v>
      </c>
      <c r="L126" s="29">
        <f>$K126*$B$4/2000</f>
        <v>0</v>
      </c>
      <c r="M126" s="27" t="str">
        <f>IF(E10=L126,"Match","")</f>
        <v/>
      </c>
    </row>
  </sheetData>
  <sheetProtection password="ED7B" sheet="1" objects="1" scenarios="1" selectLockedCells="1"/>
  <protectedRanges>
    <protectedRange sqref="B9:B10 B11:D14 B3 B5:B6" name="Input Cells"/>
    <protectedRange sqref="B4" name="Input Cells_1"/>
  </protectedRanges>
  <mergeCells count="11">
    <mergeCell ref="A1:F1"/>
    <mergeCell ref="F18:F21"/>
    <mergeCell ref="F9:F14"/>
    <mergeCell ref="F24:F56"/>
    <mergeCell ref="K68:M68"/>
    <mergeCell ref="B23:C23"/>
    <mergeCell ref="N68:P68"/>
    <mergeCell ref="K67:P67"/>
    <mergeCell ref="Q67:V67"/>
    <mergeCell ref="Q68:S68"/>
    <mergeCell ref="T68:V68"/>
  </mergeCells>
  <conditionalFormatting sqref="B5">
    <cfRule type="cellIs" dxfId="0" priority="1" operator="equal">
      <formula>$K$3</formula>
    </cfRule>
  </conditionalFormatting>
  <dataValidations count="2">
    <dataValidation type="list" allowBlank="1" showInputMessage="1" showErrorMessage="1" sqref="B6">
      <formula1>"Propane, Butane"</formula1>
    </dataValidation>
    <dataValidation type="decimal" operator="lessThanOrEqual" allowBlank="1" showInputMessage="1" showErrorMessage="1" sqref="B4">
      <formula1>8760</formula1>
    </dataValidation>
  </dataValidations>
  <pageMargins left="0.7" right="0.7" top="0.75" bottom="0.75" header="0.3" footer="0.3"/>
  <pageSetup scale="83" orientation="portrait" r:id="rId1"/>
  <headerFooter>
    <oddHeader>&amp;L&amp;G</oddHeader>
    <oddFooter>&amp;CPage &amp;P of &amp;N&amp;RVersion 1.0
November 29, 2018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Boiler LPG</vt:lpstr>
      <vt:lpstr>'Boiler LPG'!Print_Area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keywords>Emission Calculations</cp:keywords>
  <cp:lastModifiedBy>Alan Humpherys</cp:lastModifiedBy>
  <cp:lastPrinted>2018-11-29T18:39:53Z</cp:lastPrinted>
  <dcterms:created xsi:type="dcterms:W3CDTF">2018-06-18T20:27:23Z</dcterms:created>
  <dcterms:modified xsi:type="dcterms:W3CDTF">2018-11-29T18:41:35Z</dcterms:modified>
</cp:coreProperties>
</file>